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2600" windowHeight="12225" tabRatio="638" activeTab="2"/>
  </bookViews>
  <sheets>
    <sheet name="How To" sheetId="17" r:id="rId1"/>
    <sheet name="CharacterSheet" sheetId="1" r:id="rId2"/>
    <sheet name="Knacks and Boons" sheetId="8" r:id="rId3"/>
    <sheet name="Followers and Creatures" sheetId="18" r:id="rId4"/>
    <sheet name="Guides and Additional Relics" sheetId="19" r:id="rId5"/>
    <sheet name="Creation" sheetId="2" r:id="rId6"/>
    <sheet name="DotTracking" sheetId="4" r:id="rId7"/>
    <sheet name="DemigodConversion" sheetId="3" r:id="rId8"/>
    <sheet name="GodConversion" sheetId="15" r:id="rId9"/>
    <sheet name="ArmoryRef" sheetId="16" state="hidden" r:id="rId10"/>
    <sheet name="AssociatedRef" sheetId="9" state="hidden" r:id="rId11"/>
    <sheet name="BoonRef" sheetId="10" state="hidden" r:id="rId12"/>
    <sheet name="KanckRef" sheetId="13" state="hidden" r:id="rId13"/>
    <sheet name="Reference" sheetId="11" state="hidden" r:id="rId14"/>
    <sheet name="PantheonList" sheetId="14" state="hidden" r:id="rId15"/>
    <sheet name="To Do" sheetId="20" r:id="rId16"/>
  </sheets>
  <definedNames>
    <definedName name="_xlnm._FilterDatabase" localSheetId="9" hidden="1">ArmoryRef!$A$2:$L$75</definedName>
    <definedName name="_xlnm._FilterDatabase" localSheetId="10" hidden="1">AssociatedRef!$AR$1:$BM$1</definedName>
    <definedName name="_xlnm._FilterDatabase" localSheetId="11" hidden="1">BoonRef!$A$1:$Q$430</definedName>
    <definedName name="_xlnm._FilterDatabase" localSheetId="1" hidden="1">CharacterSheet!$A$1:$CU$46</definedName>
    <definedName name="_xlnm._FilterDatabase" localSheetId="12" hidden="1">KanckRef!$A$1:$F$170</definedName>
    <definedName name="advantagetype">Reference!$D$29:$D$30</definedName>
    <definedName name="Aesir">Reference!$A$42:$A$54</definedName>
    <definedName name="Allied">Reference!$A$174:$A$182</definedName>
    <definedName name="Amatsukami">Reference!$A$56:$A$63</definedName>
    <definedName name="Animal">Reference!$D$56:$D$68</definedName>
    <definedName name="Appearance">Reference!$F$1:$F$19</definedName>
    <definedName name="Arete">Reference!$E$56:$E$65</definedName>
    <definedName name="Armor">Reference!$F$113:$F$141</definedName>
    <definedName name="Asha">Reference!$D$69:$D$78</definedName>
    <definedName name="Atzlanti">Reference!$A$73:$A$79</definedName>
    <definedName name="Birthrights">Reference!$E$26:$E$30</definedName>
    <definedName name="Boon">Reference!$G$2:$G$40</definedName>
    <definedName name="Celestial">Reference!$A$81:$A$92</definedName>
    <definedName name="Chaos">Reference!$E$66:$E$78</definedName>
    <definedName name="Charisma">Reference!$F$20:$F$37</definedName>
    <definedName name="Cheval">Reference!$D$79:$D$88</definedName>
    <definedName name="Civitas">Reference!$E$79:$E$88</definedName>
    <definedName name="Darkness">Reference!$D$89:$D$101</definedName>
    <definedName name="Death">Reference!$E$89:$E$101</definedName>
    <definedName name="Devas">Reference!$A$94:$A$105</definedName>
    <definedName name="Dexterity">Reference!$F$38:$F$56</definedName>
    <definedName name="Dodekatheon">Reference!$A$107:$A$120</definedName>
    <definedName name="Earth">Reference!$D$102:$D$114</definedName>
    <definedName name="Enech">Reference!$E$102:$E$111</definedName>
    <definedName name="Fertility">Reference!$D$115:$D$127</definedName>
    <definedName name="Fire">Reference!$E$112:$E$124</definedName>
    <definedName name="Frost">Reference!$D$128:$D$138</definedName>
    <definedName name="Guardian">Reference!$E$125:$E$138</definedName>
    <definedName name="Health">Reference!$D$139:$D$152</definedName>
    <definedName name="Heku">Reference!$E$139:$E$148</definedName>
    <definedName name="Illusion">Reference!$D$153:$D$163</definedName>
    <definedName name="Industry">Reference!$E$149:$E$158</definedName>
    <definedName name="Intelligence">Reference!$F$57:$F$75</definedName>
    <definedName name="Itztli">Reference!$D$164:$D$173</definedName>
    <definedName name="Jotunblut">Reference!$E$159:$E$168</definedName>
    <definedName name="Justice">Reference!$E$169:$E$181</definedName>
    <definedName name="Knack">Reference!$G$41:$G$50</definedName>
    <definedName name="Loa">Reference!$A$122:$A$128</definedName>
    <definedName name="Magic">Reference!$C$47:$C$77</definedName>
    <definedName name="Manipulation">Reference!$F$76:$F$93</definedName>
    <definedName name="Moon">Reference!$C$78:$C$90</definedName>
    <definedName name="Mystery">Reference!$C$91:$C$101</definedName>
    <definedName name="Natures">Reference!$A$2:$A$24</definedName>
    <definedName name="Pantheons">PantheonList!$A$2:$A$15</definedName>
    <definedName name="Perception">Reference!$G$64:$G$82</definedName>
    <definedName name="Pesedjet">Reference!$A$130:$A$140</definedName>
    <definedName name="Priority">Reference!$D$25:$D$28</definedName>
    <definedName name="Prophecy">Reference!$C$102:$C$112</definedName>
    <definedName name="Psychopomp">Reference!$C$113:$C$126</definedName>
    <definedName name="Purviews">Reference!$G$3:$G$40</definedName>
    <definedName name="Samsara">Reference!$C$127:$C$136</definedName>
    <definedName name="Scire">Reference!$C$137:$C$146</definedName>
    <definedName name="Select">Reference!$A$2</definedName>
    <definedName name="Sky">Reference!$C$147:$C$159</definedName>
    <definedName name="Sources">Reference!$G$2:$G$50</definedName>
    <definedName name="Special">Reference!$B$23:$B$27</definedName>
    <definedName name="Stamina">Reference!$G$83:$G$102</definedName>
    <definedName name="Stars">Reference!$C$160:$C$170</definedName>
    <definedName name="Strength">Reference!$F$94:$F$112</definedName>
    <definedName name="Sun">Reference!$C$171:$C$183</definedName>
    <definedName name="Taiyi">Reference!$D$174:$D$183</definedName>
    <definedName name="Test">Reference!$C$30:$C$31</definedName>
    <definedName name="TsukumoGami">Reference!$F$146:$F$155</definedName>
    <definedName name="Tuatha">Reference!$A$142:$A$151</definedName>
    <definedName name="Virtues">Reference!$G$52:$G$63</definedName>
    <definedName name="War">Reference!$F$156:$F$170</definedName>
    <definedName name="Water">Reference!$F$171:$F$183</definedName>
    <definedName name="Weapon">Reference!$B$47:$B$180</definedName>
    <definedName name="weaptype">Reference!$B$28:$B$31</definedName>
    <definedName name="Wits">Reference!$G$103:$G$120</definedName>
    <definedName name="Yankee">Reference!$A$164:$A$172</definedName>
    <definedName name="Yazata">Reference!$A$153:$A$162</definedName>
  </definedNames>
  <calcPr calcId="145621"/>
</workbook>
</file>

<file path=xl/calcChain.xml><?xml version="1.0" encoding="utf-8"?>
<calcChain xmlns="http://schemas.openxmlformats.org/spreadsheetml/2006/main">
  <c r="I116" i="16" l="1"/>
  <c r="I113" i="16"/>
  <c r="I111" i="16"/>
  <c r="I105" i="16"/>
  <c r="I98" i="16"/>
  <c r="I95" i="16"/>
  <c r="I93" i="16"/>
  <c r="I89" i="16"/>
  <c r="I86" i="16"/>
  <c r="I82" i="16"/>
  <c r="I80" i="16"/>
  <c r="I78" i="16"/>
  <c r="I77" i="16"/>
  <c r="I76" i="16"/>
  <c r="I75" i="16"/>
  <c r="I73" i="16"/>
  <c r="I71" i="16"/>
  <c r="I70" i="16"/>
  <c r="I69" i="16"/>
  <c r="I68" i="16"/>
  <c r="I67" i="16"/>
  <c r="I64" i="16"/>
  <c r="I61" i="16"/>
  <c r="I60" i="16"/>
  <c r="I59" i="16"/>
  <c r="I57" i="16"/>
  <c r="I47" i="16"/>
  <c r="I44" i="16"/>
  <c r="I42" i="16"/>
  <c r="I40" i="16"/>
  <c r="I39" i="16"/>
  <c r="I37" i="16"/>
  <c r="I36" i="16"/>
  <c r="I34" i="16"/>
  <c r="I33" i="16"/>
  <c r="I31" i="16"/>
  <c r="I29" i="16"/>
  <c r="I28" i="16"/>
  <c r="I27" i="16"/>
  <c r="I26" i="16"/>
  <c r="I25" i="16"/>
  <c r="I23" i="16"/>
  <c r="I22" i="16"/>
  <c r="I21" i="16"/>
  <c r="I20" i="16"/>
  <c r="I19" i="16"/>
  <c r="I15" i="16"/>
  <c r="I14" i="16"/>
  <c r="I13" i="16"/>
  <c r="I12" i="16"/>
  <c r="I10" i="16"/>
  <c r="I9" i="16"/>
  <c r="I8" i="16"/>
  <c r="I6" i="16"/>
  <c r="I5" i="16"/>
  <c r="I4" i="16"/>
  <c r="I2" i="16"/>
  <c r="BK17" i="1" l="1"/>
  <c r="BK16" i="1"/>
  <c r="BK15" i="1"/>
  <c r="BK14" i="1"/>
  <c r="BK13" i="1"/>
  <c r="BK12" i="1"/>
  <c r="CC1" i="3" l="1"/>
  <c r="CC2" i="3"/>
  <c r="BN21" i="1"/>
  <c r="BL21" i="1"/>
  <c r="BJ21" i="1"/>
  <c r="BC21" i="1"/>
  <c r="BA21" i="1"/>
  <c r="BK21" i="1" s="1"/>
  <c r="BN20" i="1"/>
  <c r="BL20" i="1"/>
  <c r="BJ20" i="1"/>
  <c r="BC20" i="1"/>
  <c r="BA20" i="1"/>
  <c r="BN19" i="1"/>
  <c r="BL19" i="1"/>
  <c r="BJ19" i="1"/>
  <c r="BC19" i="1"/>
  <c r="BA19" i="1"/>
  <c r="BN18" i="1"/>
  <c r="BL18" i="1"/>
  <c r="BJ18" i="1"/>
  <c r="BC18" i="1"/>
  <c r="BA18" i="1"/>
  <c r="AM46" i="1"/>
  <c r="AL46" i="1"/>
  <c r="AJ46" i="1"/>
  <c r="AM45" i="1"/>
  <c r="AL45" i="1"/>
  <c r="AJ45" i="1"/>
  <c r="AM44" i="1"/>
  <c r="AL44" i="1"/>
  <c r="AJ44" i="1"/>
  <c r="AM43" i="1"/>
  <c r="AL43" i="1"/>
  <c r="AJ43" i="1"/>
  <c r="AM42" i="1"/>
  <c r="AL42" i="1"/>
  <c r="AJ42" i="1"/>
  <c r="AM41" i="1"/>
  <c r="AL41" i="1"/>
  <c r="AJ41" i="1"/>
  <c r="AM40" i="1"/>
  <c r="AL40" i="1"/>
  <c r="AJ40" i="1"/>
  <c r="AM39" i="1"/>
  <c r="AL39" i="1"/>
  <c r="AJ39" i="1"/>
  <c r="AM38" i="1"/>
  <c r="AL38" i="1"/>
  <c r="AJ38" i="1"/>
  <c r="AM37" i="1"/>
  <c r="AL37" i="1"/>
  <c r="AJ37" i="1"/>
  <c r="AM36" i="1"/>
  <c r="AL36" i="1"/>
  <c r="AJ36" i="1"/>
  <c r="AM35" i="1"/>
  <c r="AL35" i="1"/>
  <c r="AJ35" i="1"/>
  <c r="AM34" i="1"/>
  <c r="AL34" i="1"/>
  <c r="AJ34" i="1"/>
  <c r="AM33" i="1"/>
  <c r="AL33" i="1"/>
  <c r="AJ33" i="1"/>
  <c r="A647" i="8" l="1"/>
  <c r="Z646" i="8"/>
  <c r="A646" i="8"/>
  <c r="H645" i="8"/>
  <c r="AE644" i="8"/>
  <c r="H644" i="8"/>
  <c r="AE643" i="8"/>
  <c r="H643" i="8"/>
  <c r="A641" i="8"/>
  <c r="Z640" i="8"/>
  <c r="A640" i="8"/>
  <c r="H639" i="8"/>
  <c r="AE638" i="8"/>
  <c r="H638" i="8"/>
  <c r="AE637" i="8"/>
  <c r="H637" i="8"/>
  <c r="A635" i="8"/>
  <c r="Z634" i="8"/>
  <c r="A634" i="8"/>
  <c r="H633" i="8"/>
  <c r="AE632" i="8"/>
  <c r="H632" i="8"/>
  <c r="AE631" i="8"/>
  <c r="H631" i="8"/>
  <c r="A629" i="8"/>
  <c r="Z628" i="8"/>
  <c r="A628" i="8"/>
  <c r="H627" i="8"/>
  <c r="AE626" i="8"/>
  <c r="H626" i="8"/>
  <c r="AE625" i="8"/>
  <c r="H625" i="8"/>
  <c r="A623" i="8"/>
  <c r="Z622" i="8"/>
  <c r="A622" i="8"/>
  <c r="H621" i="8"/>
  <c r="AE620" i="8"/>
  <c r="H620" i="8"/>
  <c r="AE619" i="8"/>
  <c r="H619" i="8"/>
  <c r="A617" i="8"/>
  <c r="Z616" i="8"/>
  <c r="A616" i="8"/>
  <c r="H615" i="8"/>
  <c r="AE614" i="8"/>
  <c r="H614" i="8"/>
  <c r="AE613" i="8"/>
  <c r="H613" i="8"/>
  <c r="A611" i="8"/>
  <c r="Z610" i="8"/>
  <c r="A610" i="8"/>
  <c r="H609" i="8"/>
  <c r="AE608" i="8"/>
  <c r="H608" i="8"/>
  <c r="AE607" i="8"/>
  <c r="H607" i="8"/>
  <c r="A605" i="8"/>
  <c r="A604" i="8"/>
  <c r="H603" i="8"/>
  <c r="H602" i="8"/>
  <c r="H601" i="8"/>
  <c r="A599" i="8"/>
  <c r="A598" i="8"/>
  <c r="H597" i="8"/>
  <c r="H596" i="8"/>
  <c r="H595" i="8"/>
  <c r="A593" i="8"/>
  <c r="A592" i="8"/>
  <c r="H591" i="8"/>
  <c r="H590" i="8"/>
  <c r="H589" i="8"/>
  <c r="A587" i="8"/>
  <c r="A586" i="8"/>
  <c r="H585" i="8"/>
  <c r="H584" i="8"/>
  <c r="H583" i="8"/>
  <c r="A581" i="8"/>
  <c r="A580" i="8"/>
  <c r="H579" i="8"/>
  <c r="H578" i="8"/>
  <c r="H577" i="8"/>
  <c r="A575" i="8"/>
  <c r="A574" i="8"/>
  <c r="H573" i="8"/>
  <c r="H572" i="8"/>
  <c r="H571" i="8"/>
  <c r="A569" i="8"/>
  <c r="A568" i="8"/>
  <c r="H567" i="8"/>
  <c r="H566" i="8"/>
  <c r="H565" i="8"/>
  <c r="A563" i="8"/>
  <c r="A562" i="8"/>
  <c r="H561" i="8"/>
  <c r="H560" i="8"/>
  <c r="H559" i="8"/>
  <c r="A557" i="8"/>
  <c r="A556" i="8"/>
  <c r="H555" i="8"/>
  <c r="H554" i="8"/>
  <c r="H553" i="8"/>
  <c r="A551" i="8"/>
  <c r="A550" i="8"/>
  <c r="H549" i="8"/>
  <c r="H548" i="8"/>
  <c r="H547" i="8"/>
  <c r="A545" i="8"/>
  <c r="A544" i="8"/>
  <c r="H543" i="8"/>
  <c r="H542" i="8"/>
  <c r="H541" i="8"/>
  <c r="A539" i="8"/>
  <c r="A538" i="8"/>
  <c r="H537" i="8"/>
  <c r="H536" i="8"/>
  <c r="H535" i="8"/>
  <c r="A533" i="8"/>
  <c r="A532" i="8"/>
  <c r="H531" i="8"/>
  <c r="H530" i="8"/>
  <c r="H529" i="8"/>
  <c r="A527" i="8"/>
  <c r="A526" i="8"/>
  <c r="H525" i="8"/>
  <c r="H524" i="8"/>
  <c r="H523" i="8"/>
  <c r="A521" i="8"/>
  <c r="A520" i="8"/>
  <c r="H519" i="8"/>
  <c r="H518" i="8"/>
  <c r="H517" i="8"/>
  <c r="A515" i="8"/>
  <c r="A514" i="8"/>
  <c r="H513" i="8"/>
  <c r="H512" i="8"/>
  <c r="H511" i="8"/>
  <c r="A509" i="8"/>
  <c r="A508" i="8"/>
  <c r="H507" i="8"/>
  <c r="H506" i="8"/>
  <c r="H505" i="8"/>
  <c r="A503" i="8"/>
  <c r="A502" i="8"/>
  <c r="H501" i="8"/>
  <c r="H500" i="8"/>
  <c r="H499" i="8"/>
  <c r="A497" i="8"/>
  <c r="A496" i="8"/>
  <c r="H495" i="8"/>
  <c r="H494" i="8"/>
  <c r="H493" i="8"/>
  <c r="A491" i="8"/>
  <c r="A490" i="8"/>
  <c r="H489" i="8"/>
  <c r="H488" i="8"/>
  <c r="H487" i="8"/>
  <c r="A485" i="8"/>
  <c r="A484" i="8"/>
  <c r="H483" i="8"/>
  <c r="H482" i="8"/>
  <c r="H481" i="8"/>
  <c r="A479" i="8"/>
  <c r="A478" i="8"/>
  <c r="H477" i="8"/>
  <c r="H476" i="8"/>
  <c r="H475" i="8"/>
  <c r="A473" i="8"/>
  <c r="A472" i="8"/>
  <c r="H471" i="8"/>
  <c r="H470" i="8"/>
  <c r="H469" i="8"/>
  <c r="A467" i="8"/>
  <c r="A466" i="8"/>
  <c r="H465" i="8"/>
  <c r="H464" i="8"/>
  <c r="H463" i="8"/>
  <c r="A461" i="8"/>
  <c r="A460" i="8"/>
  <c r="H459" i="8"/>
  <c r="H458" i="8"/>
  <c r="H457" i="8"/>
  <c r="A455" i="8"/>
  <c r="A454" i="8"/>
  <c r="H453" i="8"/>
  <c r="H452" i="8"/>
  <c r="H451" i="8"/>
  <c r="A449" i="8"/>
  <c r="A448" i="8"/>
  <c r="H447" i="8"/>
  <c r="H446" i="8"/>
  <c r="H445" i="8"/>
  <c r="A443" i="8"/>
  <c r="A442" i="8"/>
  <c r="H441" i="8"/>
  <c r="H440" i="8"/>
  <c r="H439" i="8"/>
  <c r="A437" i="8"/>
  <c r="A436" i="8"/>
  <c r="H435" i="8"/>
  <c r="H434" i="8"/>
  <c r="H433" i="8"/>
  <c r="A431" i="8"/>
  <c r="A430" i="8"/>
  <c r="H429" i="8"/>
  <c r="H428" i="8"/>
  <c r="H427" i="8"/>
  <c r="A425" i="8"/>
  <c r="A424" i="8"/>
  <c r="H423" i="8"/>
  <c r="H422" i="8"/>
  <c r="H421" i="8"/>
  <c r="A419" i="8"/>
  <c r="A418" i="8"/>
  <c r="H417" i="8"/>
  <c r="H416" i="8"/>
  <c r="H415" i="8"/>
  <c r="A413" i="8"/>
  <c r="A412" i="8"/>
  <c r="H411" i="8"/>
  <c r="H410" i="8"/>
  <c r="H409" i="8"/>
  <c r="A407" i="8"/>
  <c r="A406" i="8"/>
  <c r="H405" i="8"/>
  <c r="H404" i="8"/>
  <c r="H403" i="8"/>
  <c r="A401" i="8"/>
  <c r="A400" i="8"/>
  <c r="H399" i="8"/>
  <c r="H398" i="8"/>
  <c r="H397" i="8"/>
  <c r="A395" i="8"/>
  <c r="A394" i="8"/>
  <c r="H393" i="8"/>
  <c r="H392" i="8"/>
  <c r="H391" i="8"/>
  <c r="A389" i="8"/>
  <c r="A388" i="8"/>
  <c r="H387" i="8"/>
  <c r="H386" i="8"/>
  <c r="H385" i="8"/>
  <c r="A383" i="8"/>
  <c r="A382" i="8"/>
  <c r="H381" i="8"/>
  <c r="H380" i="8"/>
  <c r="H379" i="8"/>
  <c r="A377" i="8"/>
  <c r="A376" i="8"/>
  <c r="H375" i="8"/>
  <c r="H374" i="8"/>
  <c r="H373" i="8"/>
  <c r="A371" i="8"/>
  <c r="A370" i="8"/>
  <c r="H369" i="8"/>
  <c r="H368" i="8"/>
  <c r="H367" i="8"/>
  <c r="A365" i="8"/>
  <c r="A364" i="8"/>
  <c r="H363" i="8"/>
  <c r="H362" i="8"/>
  <c r="H361" i="8"/>
  <c r="A359" i="8"/>
  <c r="A358" i="8"/>
  <c r="H357" i="8"/>
  <c r="H356" i="8"/>
  <c r="H355" i="8"/>
  <c r="A353" i="8"/>
  <c r="A352" i="8"/>
  <c r="H351" i="8"/>
  <c r="H350" i="8"/>
  <c r="H349" i="8"/>
  <c r="A347" i="8"/>
  <c r="A346" i="8"/>
  <c r="H345" i="8"/>
  <c r="H344" i="8"/>
  <c r="H343" i="8"/>
  <c r="A341" i="8"/>
  <c r="A340" i="8"/>
  <c r="H339" i="8"/>
  <c r="H338" i="8"/>
  <c r="H337" i="8"/>
  <c r="A335" i="8"/>
  <c r="A334" i="8"/>
  <c r="H333" i="8"/>
  <c r="H332" i="8"/>
  <c r="H331" i="8"/>
  <c r="A329" i="8"/>
  <c r="A328" i="8"/>
  <c r="H327" i="8"/>
  <c r="H326" i="8"/>
  <c r="H325" i="8"/>
  <c r="A323" i="8"/>
  <c r="A322" i="8"/>
  <c r="H321" i="8"/>
  <c r="H320" i="8"/>
  <c r="H319" i="8"/>
  <c r="A317" i="8"/>
  <c r="A316" i="8"/>
  <c r="H315" i="8"/>
  <c r="H314" i="8"/>
  <c r="H313" i="8"/>
  <c r="A311" i="8"/>
  <c r="A310" i="8"/>
  <c r="H309" i="8"/>
  <c r="H308" i="8"/>
  <c r="H307" i="8"/>
  <c r="A305" i="8"/>
  <c r="A304" i="8"/>
  <c r="H303" i="8"/>
  <c r="H302" i="8"/>
  <c r="H301" i="8"/>
  <c r="A299" i="8"/>
  <c r="A298" i="8"/>
  <c r="H297" i="8"/>
  <c r="H296" i="8"/>
  <c r="H295" i="8"/>
  <c r="A293" i="8"/>
  <c r="A292" i="8"/>
  <c r="H291" i="8"/>
  <c r="H290" i="8"/>
  <c r="H289" i="8"/>
  <c r="A287" i="8"/>
  <c r="A286" i="8"/>
  <c r="H285" i="8"/>
  <c r="H284" i="8"/>
  <c r="H283" i="8"/>
  <c r="A281" i="8"/>
  <c r="A280" i="8"/>
  <c r="H279" i="8"/>
  <c r="H278" i="8"/>
  <c r="H277" i="8"/>
  <c r="A275" i="8"/>
  <c r="A274" i="8"/>
  <c r="H273" i="8"/>
  <c r="H272" i="8"/>
  <c r="H271" i="8"/>
  <c r="A269" i="8"/>
  <c r="A268" i="8"/>
  <c r="H267" i="8"/>
  <c r="H266" i="8"/>
  <c r="H265" i="8"/>
  <c r="A263" i="8"/>
  <c r="A262" i="8"/>
  <c r="H261" i="8"/>
  <c r="H260" i="8"/>
  <c r="H259" i="8"/>
  <c r="A257" i="8"/>
  <c r="A256" i="8"/>
  <c r="H255" i="8"/>
  <c r="H254" i="8"/>
  <c r="H253" i="8"/>
  <c r="A251" i="8"/>
  <c r="A250" i="8"/>
  <c r="H249" i="8"/>
  <c r="H248" i="8"/>
  <c r="H247" i="8"/>
  <c r="A245" i="8"/>
  <c r="A244" i="8"/>
  <c r="H243" i="8"/>
  <c r="H242" i="8"/>
  <c r="H241" i="8"/>
  <c r="A239" i="8"/>
  <c r="A238" i="8"/>
  <c r="H237" i="8"/>
  <c r="H236" i="8"/>
  <c r="H235" i="8"/>
  <c r="A233" i="8"/>
  <c r="A232" i="8"/>
  <c r="H231" i="8"/>
  <c r="H230" i="8"/>
  <c r="H229" i="8"/>
  <c r="A227" i="8"/>
  <c r="A226" i="8"/>
  <c r="H225" i="8"/>
  <c r="H224" i="8"/>
  <c r="H223" i="8"/>
  <c r="A221" i="8"/>
  <c r="A220" i="8"/>
  <c r="H219" i="8"/>
  <c r="H218" i="8"/>
  <c r="H217" i="8"/>
  <c r="A215" i="8"/>
  <c r="A214" i="8"/>
  <c r="H213" i="8"/>
  <c r="H212" i="8"/>
  <c r="H211" i="8"/>
  <c r="A209" i="8"/>
  <c r="A208" i="8"/>
  <c r="H207" i="8"/>
  <c r="H206" i="8"/>
  <c r="H205" i="8"/>
  <c r="Z604" i="8"/>
  <c r="AE602" i="8"/>
  <c r="AE601" i="8"/>
  <c r="Z598" i="8"/>
  <c r="AE596" i="8"/>
  <c r="AE595" i="8"/>
  <c r="Z592" i="8"/>
  <c r="AE590" i="8"/>
  <c r="AE589" i="8"/>
  <c r="Z586" i="8"/>
  <c r="AE584" i="8"/>
  <c r="AE583" i="8"/>
  <c r="Z580" i="8"/>
  <c r="AE578" i="8"/>
  <c r="AE577" i="8"/>
  <c r="Z574" i="8"/>
  <c r="AE572" i="8"/>
  <c r="AE571" i="8"/>
  <c r="Z568" i="8"/>
  <c r="AE566" i="8"/>
  <c r="AE565" i="8"/>
  <c r="Z562" i="8"/>
  <c r="AE560" i="8"/>
  <c r="AE559" i="8"/>
  <c r="Z556" i="8"/>
  <c r="AE554" i="8"/>
  <c r="AE553" i="8"/>
  <c r="Z550" i="8"/>
  <c r="AE548" i="8"/>
  <c r="AE547" i="8"/>
  <c r="Z544" i="8"/>
  <c r="AE542" i="8"/>
  <c r="AE541" i="8"/>
  <c r="Z538" i="8"/>
  <c r="AE536" i="8"/>
  <c r="AE535" i="8"/>
  <c r="Z532" i="8"/>
  <c r="AE530" i="8"/>
  <c r="AE529" i="8"/>
  <c r="Z526" i="8"/>
  <c r="AE524" i="8"/>
  <c r="AE523" i="8"/>
  <c r="Z520" i="8"/>
  <c r="AE518" i="8"/>
  <c r="AE517" i="8"/>
  <c r="Z514" i="8"/>
  <c r="AE512" i="8"/>
  <c r="AE511" i="8"/>
  <c r="Z508" i="8"/>
  <c r="AE506" i="8"/>
  <c r="AE505" i="8"/>
  <c r="Z502" i="8"/>
  <c r="AE500" i="8"/>
  <c r="AE499" i="8"/>
  <c r="Z496" i="8"/>
  <c r="AE494" i="8"/>
  <c r="AE493" i="8"/>
  <c r="Z490" i="8"/>
  <c r="AE488" i="8"/>
  <c r="AE487" i="8"/>
  <c r="Z484" i="8"/>
  <c r="AE482" i="8"/>
  <c r="AE481" i="8"/>
  <c r="Z478" i="8"/>
  <c r="AE476" i="8"/>
  <c r="AE475" i="8"/>
  <c r="Z472" i="8"/>
  <c r="AE470" i="8"/>
  <c r="AE469" i="8"/>
  <c r="Z466" i="8"/>
  <c r="AE464" i="8"/>
  <c r="AE463" i="8"/>
  <c r="Z460" i="8"/>
  <c r="AE458" i="8"/>
  <c r="AE457" i="8"/>
  <c r="Z454" i="8"/>
  <c r="AE452" i="8"/>
  <c r="AE451" i="8"/>
  <c r="Z448" i="8"/>
  <c r="AE446" i="8"/>
  <c r="AE445" i="8"/>
  <c r="Z442" i="8"/>
  <c r="AE440" i="8"/>
  <c r="AE439" i="8"/>
  <c r="Z436" i="8"/>
  <c r="AE434" i="8"/>
  <c r="AE433" i="8"/>
  <c r="Z430" i="8"/>
  <c r="AE428" i="8"/>
  <c r="AE427" i="8"/>
  <c r="Z424" i="8"/>
  <c r="AE422" i="8"/>
  <c r="AE421" i="8"/>
  <c r="Z418" i="8"/>
  <c r="AE416" i="8"/>
  <c r="AE415" i="8"/>
  <c r="Z412" i="8"/>
  <c r="AE410" i="8"/>
  <c r="AE409" i="8"/>
  <c r="Z406" i="8"/>
  <c r="AE404" i="8"/>
  <c r="AE403" i="8"/>
  <c r="Z400" i="8"/>
  <c r="AE398" i="8"/>
  <c r="AE397" i="8"/>
  <c r="Z394" i="8"/>
  <c r="AE392" i="8"/>
  <c r="AE391" i="8"/>
  <c r="Z388" i="8"/>
  <c r="AE386" i="8"/>
  <c r="AE385" i="8"/>
  <c r="Z382" i="8"/>
  <c r="AE380" i="8"/>
  <c r="AE379" i="8"/>
  <c r="Z376" i="8"/>
  <c r="AE374" i="8"/>
  <c r="AE373" i="8"/>
  <c r="Z370" i="8"/>
  <c r="AE368" i="8"/>
  <c r="AE367" i="8"/>
  <c r="Z364" i="8"/>
  <c r="AE362" i="8"/>
  <c r="AE361" i="8"/>
  <c r="Z358" i="8"/>
  <c r="AE356" i="8"/>
  <c r="AE355" i="8"/>
  <c r="Z352" i="8"/>
  <c r="AE350" i="8"/>
  <c r="AE349" i="8"/>
  <c r="Z346" i="8"/>
  <c r="AE344" i="8"/>
  <c r="AE343" i="8"/>
  <c r="Z340" i="8"/>
  <c r="AE338" i="8"/>
  <c r="AE337" i="8"/>
  <c r="Z334" i="8"/>
  <c r="AE332" i="8"/>
  <c r="AE331" i="8"/>
  <c r="Z328" i="8"/>
  <c r="AE326" i="8"/>
  <c r="AE325" i="8"/>
  <c r="Z322" i="8"/>
  <c r="AE320" i="8"/>
  <c r="AE319" i="8"/>
  <c r="Z316" i="8"/>
  <c r="AE314" i="8"/>
  <c r="AE313" i="8"/>
  <c r="Z310" i="8"/>
  <c r="AE308" i="8"/>
  <c r="AE307" i="8"/>
  <c r="Z304" i="8"/>
  <c r="AE302" i="8"/>
  <c r="AE301" i="8"/>
  <c r="Z298" i="8"/>
  <c r="AE296" i="8"/>
  <c r="AE295" i="8"/>
  <c r="Z292" i="8"/>
  <c r="AE290" i="8"/>
  <c r="AE289" i="8"/>
  <c r="Z286" i="8"/>
  <c r="AE284" i="8"/>
  <c r="AE283" i="8"/>
  <c r="Z280" i="8"/>
  <c r="AE278" i="8"/>
  <c r="AE277" i="8"/>
  <c r="Z274" i="8"/>
  <c r="AE272" i="8"/>
  <c r="AE271" i="8"/>
  <c r="Z268" i="8"/>
  <c r="AE266" i="8"/>
  <c r="AE265" i="8"/>
  <c r="Z262" i="8"/>
  <c r="AE260" i="8"/>
  <c r="AE259" i="8"/>
  <c r="Z256" i="8"/>
  <c r="AE254" i="8"/>
  <c r="AE253" i="8"/>
  <c r="Z250" i="8"/>
  <c r="AE248" i="8"/>
  <c r="AE247" i="8"/>
  <c r="Z244" i="8"/>
  <c r="AE242" i="8"/>
  <c r="AE241" i="8"/>
  <c r="Z238" i="8"/>
  <c r="AE236" i="8"/>
  <c r="AE235" i="8"/>
  <c r="Z232" i="8"/>
  <c r="AE230" i="8"/>
  <c r="AE229" i="8"/>
  <c r="Z226" i="8"/>
  <c r="AE224" i="8"/>
  <c r="AE223" i="8"/>
  <c r="Z220" i="8"/>
  <c r="AE218" i="8"/>
  <c r="AE217" i="8"/>
  <c r="Z214" i="8"/>
  <c r="AE212" i="8"/>
  <c r="AE211" i="8"/>
  <c r="Z208" i="8"/>
  <c r="AE206" i="8"/>
  <c r="AE205" i="8"/>
  <c r="Z202" i="8"/>
  <c r="AE200" i="8"/>
  <c r="AE199" i="8"/>
  <c r="Z196" i="8"/>
  <c r="AE194" i="8"/>
  <c r="AE193" i="8"/>
  <c r="Z190" i="8"/>
  <c r="AE188" i="8"/>
  <c r="AE187" i="8"/>
  <c r="Z184" i="8"/>
  <c r="AE182" i="8"/>
  <c r="AE181" i="8"/>
  <c r="Z178" i="8"/>
  <c r="AE176" i="8"/>
  <c r="AE175" i="8"/>
  <c r="Z172" i="8"/>
  <c r="AE170" i="8"/>
  <c r="AE169" i="8"/>
  <c r="Z166" i="8"/>
  <c r="AE164" i="8"/>
  <c r="AE163" i="8"/>
  <c r="Z160" i="8"/>
  <c r="AE158" i="8"/>
  <c r="AE157" i="8"/>
  <c r="Z154" i="8"/>
  <c r="AE152" i="8"/>
  <c r="AE151" i="8"/>
  <c r="Z148" i="8"/>
  <c r="AE146" i="8"/>
  <c r="AE145" i="8"/>
  <c r="Z142" i="8"/>
  <c r="AE140" i="8"/>
  <c r="AE139" i="8"/>
  <c r="Z136" i="8"/>
  <c r="AE134" i="8"/>
  <c r="AE133" i="8"/>
  <c r="Z130" i="8"/>
  <c r="AE128" i="8"/>
  <c r="AE127" i="8"/>
  <c r="Z124" i="8"/>
  <c r="AE122" i="8"/>
  <c r="AE121" i="8"/>
  <c r="Z118" i="8"/>
  <c r="AE116" i="8"/>
  <c r="AE115" i="8"/>
  <c r="Z112" i="8"/>
  <c r="AE110" i="8"/>
  <c r="AE109" i="8"/>
  <c r="Z106" i="8"/>
  <c r="AE104" i="8"/>
  <c r="AE103" i="8"/>
  <c r="Z100" i="8"/>
  <c r="AE98" i="8"/>
  <c r="AE97" i="8"/>
  <c r="Z94" i="8"/>
  <c r="AE92" i="8"/>
  <c r="AE91" i="8"/>
  <c r="Z88" i="8"/>
  <c r="AE86" i="8"/>
  <c r="AE85" i="8"/>
  <c r="Z82" i="8"/>
  <c r="AE80" i="8"/>
  <c r="AE79" i="8"/>
  <c r="Z76" i="8"/>
  <c r="AE74" i="8"/>
  <c r="AE73" i="8"/>
  <c r="Z70" i="8"/>
  <c r="AE68" i="8"/>
  <c r="AE67" i="8"/>
  <c r="Z64" i="8"/>
  <c r="AE62" i="8"/>
  <c r="AE61" i="8"/>
  <c r="Z58" i="8"/>
  <c r="AE56" i="8"/>
  <c r="AE55" i="8"/>
  <c r="Z52" i="8"/>
  <c r="AE50" i="8"/>
  <c r="AE49" i="8"/>
  <c r="Z46" i="8"/>
  <c r="AE44" i="8"/>
  <c r="AE43" i="8"/>
  <c r="Z40" i="8"/>
  <c r="AE38" i="8"/>
  <c r="AE37" i="8"/>
  <c r="Z34" i="8"/>
  <c r="AE32" i="8"/>
  <c r="AE31" i="8"/>
  <c r="Z28" i="8"/>
  <c r="AE26" i="8"/>
  <c r="AE25" i="8"/>
  <c r="Z22" i="8"/>
  <c r="AE20" i="8"/>
  <c r="AE19" i="8"/>
  <c r="Z16" i="8"/>
  <c r="AE14" i="8"/>
  <c r="AE13" i="8"/>
  <c r="Z10" i="8"/>
  <c r="AE8" i="8"/>
  <c r="AE7" i="8"/>
  <c r="A203" i="8"/>
  <c r="A202" i="8"/>
  <c r="H201" i="8"/>
  <c r="H200" i="8"/>
  <c r="H199" i="8"/>
  <c r="A197" i="8"/>
  <c r="A196" i="8"/>
  <c r="H195" i="8"/>
  <c r="H194" i="8"/>
  <c r="H193" i="8"/>
  <c r="A191" i="8"/>
  <c r="A190" i="8"/>
  <c r="H189" i="8"/>
  <c r="H188" i="8"/>
  <c r="H187" i="8"/>
  <c r="A185" i="8"/>
  <c r="A184" i="8"/>
  <c r="H183" i="8"/>
  <c r="H182" i="8"/>
  <c r="H181" i="8"/>
  <c r="A179" i="8"/>
  <c r="A178" i="8"/>
  <c r="H177" i="8"/>
  <c r="H176" i="8"/>
  <c r="H175" i="8"/>
  <c r="A173" i="8"/>
  <c r="A172" i="8"/>
  <c r="H171" i="8"/>
  <c r="H170" i="8"/>
  <c r="H169" i="8"/>
  <c r="A167" i="8"/>
  <c r="A166" i="8"/>
  <c r="H165" i="8"/>
  <c r="H164" i="8"/>
  <c r="H163" i="8"/>
  <c r="A161" i="8"/>
  <c r="A160" i="8"/>
  <c r="H159" i="8"/>
  <c r="H158" i="8"/>
  <c r="H157" i="8"/>
  <c r="A155" i="8"/>
  <c r="A154" i="8"/>
  <c r="H153" i="8"/>
  <c r="H152" i="8"/>
  <c r="H151" i="8"/>
  <c r="A149" i="8"/>
  <c r="A148" i="8"/>
  <c r="H147" i="8"/>
  <c r="H146" i="8"/>
  <c r="H145" i="8"/>
  <c r="A143" i="8"/>
  <c r="A142" i="8"/>
  <c r="H141" i="8"/>
  <c r="H140" i="8"/>
  <c r="H139" i="8"/>
  <c r="A137" i="8"/>
  <c r="A136" i="8"/>
  <c r="H135" i="8"/>
  <c r="H134" i="8"/>
  <c r="H133" i="8"/>
  <c r="A131" i="8"/>
  <c r="A130" i="8"/>
  <c r="H129" i="8"/>
  <c r="H128" i="8"/>
  <c r="H127" i="8"/>
  <c r="A125" i="8"/>
  <c r="A124" i="8"/>
  <c r="H123" i="8"/>
  <c r="H122" i="8"/>
  <c r="H121" i="8"/>
  <c r="A119" i="8"/>
  <c r="A118" i="8"/>
  <c r="H117" i="8"/>
  <c r="H116" i="8"/>
  <c r="H115" i="8"/>
  <c r="A113" i="8"/>
  <c r="A112" i="8"/>
  <c r="H111" i="8"/>
  <c r="H110" i="8"/>
  <c r="H109" i="8"/>
  <c r="A107" i="8"/>
  <c r="A106" i="8"/>
  <c r="H105" i="8"/>
  <c r="H104" i="8"/>
  <c r="H103" i="8"/>
  <c r="A101" i="8"/>
  <c r="A100" i="8"/>
  <c r="H99" i="8"/>
  <c r="H98" i="8"/>
  <c r="H97" i="8"/>
  <c r="A95" i="8"/>
  <c r="A94" i="8"/>
  <c r="H93" i="8"/>
  <c r="H92" i="8"/>
  <c r="H91" i="8"/>
  <c r="A89" i="8"/>
  <c r="A88" i="8"/>
  <c r="H87" i="8"/>
  <c r="H86" i="8"/>
  <c r="H85" i="8"/>
  <c r="A83" i="8"/>
  <c r="A82" i="8"/>
  <c r="H81" i="8"/>
  <c r="H80" i="8"/>
  <c r="H79" i="8"/>
  <c r="A77" i="8"/>
  <c r="A76" i="8"/>
  <c r="H75" i="8"/>
  <c r="H74" i="8"/>
  <c r="H73" i="8"/>
  <c r="A71" i="8"/>
  <c r="A70" i="8"/>
  <c r="H69" i="8"/>
  <c r="H68" i="8"/>
  <c r="H67" i="8"/>
  <c r="A65" i="8"/>
  <c r="A64" i="8"/>
  <c r="H63" i="8"/>
  <c r="H62" i="8"/>
  <c r="H61" i="8"/>
  <c r="A59" i="8"/>
  <c r="A58" i="8"/>
  <c r="H57" i="8"/>
  <c r="H56" i="8"/>
  <c r="H55" i="8"/>
  <c r="A53" i="8"/>
  <c r="A52" i="8"/>
  <c r="H51" i="8"/>
  <c r="H50" i="8"/>
  <c r="H49" i="8"/>
  <c r="A47" i="8"/>
  <c r="A46" i="8"/>
  <c r="H45" i="8"/>
  <c r="H44" i="8"/>
  <c r="H43" i="8"/>
  <c r="A41" i="8"/>
  <c r="A40" i="8"/>
  <c r="H39" i="8"/>
  <c r="H38" i="8"/>
  <c r="H37" i="8"/>
  <c r="A35" i="8"/>
  <c r="A34" i="8"/>
  <c r="H33" i="8"/>
  <c r="H32" i="8"/>
  <c r="H31" i="8"/>
  <c r="A29" i="8"/>
  <c r="A28" i="8"/>
  <c r="H27" i="8"/>
  <c r="H26" i="8"/>
  <c r="H25" i="8"/>
  <c r="A23" i="8"/>
  <c r="A22" i="8"/>
  <c r="H21" i="8"/>
  <c r="H20" i="8"/>
  <c r="H19" i="8"/>
  <c r="A17" i="8"/>
  <c r="A16" i="8"/>
  <c r="H15" i="8"/>
  <c r="H14" i="8"/>
  <c r="H13" i="8"/>
  <c r="A11" i="8"/>
  <c r="A10" i="8"/>
  <c r="H9" i="8"/>
  <c r="H8" i="8"/>
  <c r="H7" i="8"/>
  <c r="K2" i="10"/>
  <c r="S28" i="1" l="1"/>
  <c r="S27" i="1"/>
  <c r="EN38" i="4"/>
  <c r="EM38" i="4"/>
  <c r="EL38" i="4"/>
  <c r="EK38" i="4"/>
  <c r="EN37" i="4"/>
  <c r="EM37" i="4"/>
  <c r="EL37" i="4"/>
  <c r="EK37" i="4"/>
  <c r="EN36" i="4"/>
  <c r="EM36" i="4"/>
  <c r="EL36" i="4"/>
  <c r="EK36" i="4"/>
  <c r="EN35" i="4"/>
  <c r="EM35" i="4"/>
  <c r="EL35" i="4"/>
  <c r="EK35" i="4"/>
  <c r="EN34" i="4"/>
  <c r="EM34" i="4"/>
  <c r="EL34" i="4"/>
  <c r="EK34" i="4"/>
  <c r="EN33" i="4"/>
  <c r="EM33" i="4"/>
  <c r="EL33" i="4"/>
  <c r="EK33" i="4"/>
  <c r="EN32" i="4"/>
  <c r="EM32" i="4"/>
  <c r="EL32" i="4"/>
  <c r="EK32" i="4"/>
  <c r="EN31" i="4"/>
  <c r="EM31" i="4"/>
  <c r="EL31" i="4"/>
  <c r="EK31" i="4"/>
  <c r="EN30" i="4"/>
  <c r="EM30" i="4"/>
  <c r="EL30" i="4"/>
  <c r="EK30" i="4"/>
  <c r="EN29" i="4"/>
  <c r="EM29" i="4"/>
  <c r="EL29" i="4"/>
  <c r="EK29" i="4"/>
  <c r="EN28" i="4"/>
  <c r="EM28" i="4"/>
  <c r="EL28" i="4"/>
  <c r="EK28" i="4"/>
  <c r="EN27" i="4"/>
  <c r="EM27" i="4"/>
  <c r="EL27" i="4"/>
  <c r="EK27" i="4"/>
  <c r="EN26" i="4"/>
  <c r="EM26" i="4"/>
  <c r="EL26" i="4"/>
  <c r="EK26" i="4"/>
  <c r="EN25" i="4"/>
  <c r="EM25" i="4"/>
  <c r="EL25" i="4"/>
  <c r="EK25" i="4"/>
  <c r="EN24" i="4"/>
  <c r="EM24" i="4"/>
  <c r="EL24" i="4"/>
  <c r="EK24" i="4"/>
  <c r="EN23" i="4"/>
  <c r="EM23" i="4"/>
  <c r="EL23" i="4"/>
  <c r="EK23" i="4"/>
  <c r="EN22" i="4"/>
  <c r="EM22" i="4"/>
  <c r="EL22" i="4"/>
  <c r="EK22" i="4"/>
  <c r="EN21" i="4"/>
  <c r="EM21" i="4"/>
  <c r="EL21" i="4"/>
  <c r="EK21" i="4"/>
  <c r="EN20" i="4"/>
  <c r="EM20" i="4"/>
  <c r="EL20" i="4"/>
  <c r="EK20" i="4"/>
  <c r="EN19" i="4"/>
  <c r="EM19" i="4"/>
  <c r="EL19" i="4"/>
  <c r="EK19" i="4"/>
  <c r="EN18" i="4"/>
  <c r="EM18" i="4"/>
  <c r="EL18" i="4"/>
  <c r="EK18" i="4"/>
  <c r="EN17" i="4"/>
  <c r="EM17" i="4"/>
  <c r="EL17" i="4"/>
  <c r="EK17" i="4"/>
  <c r="EN16" i="4"/>
  <c r="EM16" i="4"/>
  <c r="EL16" i="4"/>
  <c r="EK16" i="4"/>
  <c r="EN15" i="4"/>
  <c r="EM15" i="4"/>
  <c r="EL15" i="4"/>
  <c r="EK15" i="4"/>
  <c r="EN14" i="4"/>
  <c r="EM14" i="4"/>
  <c r="EL14" i="4"/>
  <c r="EK14" i="4"/>
  <c r="EN13" i="4"/>
  <c r="EM13" i="4"/>
  <c r="EL13" i="4"/>
  <c r="EK13" i="4"/>
  <c r="EN12" i="4"/>
  <c r="EM12" i="4"/>
  <c r="EL12" i="4"/>
  <c r="EK12" i="4"/>
  <c r="EN11" i="4"/>
  <c r="EM11" i="4"/>
  <c r="EL11" i="4"/>
  <c r="EK11" i="4"/>
  <c r="EN10" i="4"/>
  <c r="EM10" i="4"/>
  <c r="EL10" i="4"/>
  <c r="EK10" i="4"/>
  <c r="EN9" i="4"/>
  <c r="EM9" i="4"/>
  <c r="EL9" i="4"/>
  <c r="EK9" i="4"/>
  <c r="EJ29" i="4"/>
  <c r="EJ28" i="4"/>
  <c r="EJ27" i="4"/>
  <c r="EJ26" i="4"/>
  <c r="EJ25" i="4"/>
  <c r="EJ24" i="4"/>
  <c r="EJ23" i="4"/>
  <c r="EJ22" i="4"/>
  <c r="EJ21" i="4"/>
  <c r="EJ20" i="4"/>
  <c r="EJ19" i="4"/>
  <c r="EJ18" i="4"/>
  <c r="EJ17" i="4"/>
  <c r="EJ16" i="4"/>
  <c r="EJ15" i="4"/>
  <c r="EJ14" i="4"/>
  <c r="EJ13" i="4"/>
  <c r="EJ12" i="4"/>
  <c r="EJ11" i="4"/>
  <c r="EJ10" i="4"/>
  <c r="EE24" i="4"/>
  <c r="ED24" i="4"/>
  <c r="EC24" i="4"/>
  <c r="EB24" i="4"/>
  <c r="EA24" i="4"/>
  <c r="DZ24" i="4"/>
  <c r="DY24" i="4"/>
  <c r="DX24" i="4"/>
  <c r="DW24" i="4"/>
  <c r="DV24" i="4"/>
  <c r="DU24" i="4"/>
  <c r="EE23" i="4"/>
  <c r="ED23" i="4"/>
  <c r="EC23" i="4"/>
  <c r="EB23" i="4"/>
  <c r="EA23" i="4"/>
  <c r="DZ23" i="4"/>
  <c r="DY23" i="4"/>
  <c r="DX23" i="4"/>
  <c r="DW23" i="4"/>
  <c r="DV23" i="4"/>
  <c r="DU23" i="4"/>
  <c r="EE22" i="4"/>
  <c r="ED22" i="4"/>
  <c r="EC22" i="4"/>
  <c r="EB22" i="4"/>
  <c r="EA22" i="4"/>
  <c r="DZ22" i="4"/>
  <c r="DY22" i="4"/>
  <c r="DX22" i="4"/>
  <c r="DW22" i="4"/>
  <c r="DV22" i="4"/>
  <c r="DU22" i="4"/>
  <c r="EE21" i="4"/>
  <c r="ED21" i="4"/>
  <c r="EC21" i="4"/>
  <c r="EB21" i="4"/>
  <c r="EA21" i="4"/>
  <c r="DZ21" i="4"/>
  <c r="DY21" i="4"/>
  <c r="DX21" i="4"/>
  <c r="DW21" i="4"/>
  <c r="DV21" i="4"/>
  <c r="DU21" i="4"/>
  <c r="EE20" i="4"/>
  <c r="ED20" i="4"/>
  <c r="EC20" i="4"/>
  <c r="EB20" i="4"/>
  <c r="EA20" i="4"/>
  <c r="DZ20" i="4"/>
  <c r="DY20" i="4"/>
  <c r="DX20" i="4"/>
  <c r="DW20" i="4"/>
  <c r="DV20" i="4"/>
  <c r="DU20" i="4"/>
  <c r="EE19" i="4"/>
  <c r="ED19" i="4"/>
  <c r="EC19" i="4"/>
  <c r="EB19" i="4"/>
  <c r="EA19" i="4"/>
  <c r="DZ19" i="4"/>
  <c r="DY19" i="4"/>
  <c r="DX19" i="4"/>
  <c r="DW19" i="4"/>
  <c r="DV19" i="4"/>
  <c r="DU19" i="4"/>
  <c r="EE18" i="4"/>
  <c r="ED18" i="4"/>
  <c r="EC18" i="4"/>
  <c r="EB18" i="4"/>
  <c r="EA18" i="4"/>
  <c r="DZ18" i="4"/>
  <c r="DY18" i="4"/>
  <c r="DX18" i="4"/>
  <c r="DW18" i="4"/>
  <c r="DV18" i="4"/>
  <c r="DU18" i="4"/>
  <c r="EE17" i="4"/>
  <c r="ED17" i="4"/>
  <c r="EC17" i="4"/>
  <c r="EB17" i="4"/>
  <c r="EA17" i="4"/>
  <c r="DZ17" i="4"/>
  <c r="DY17" i="4"/>
  <c r="DX17" i="4"/>
  <c r="DW17" i="4"/>
  <c r="DV17" i="4"/>
  <c r="DU17" i="4"/>
  <c r="EE16" i="4"/>
  <c r="ED16" i="4"/>
  <c r="EC16" i="4"/>
  <c r="EB16" i="4"/>
  <c r="EA16" i="4"/>
  <c r="DZ16" i="4"/>
  <c r="DY16" i="4"/>
  <c r="DX16" i="4"/>
  <c r="DW16" i="4"/>
  <c r="DV16" i="4"/>
  <c r="DU16" i="4"/>
  <c r="EJ9" i="4" l="1"/>
  <c r="EJ30" i="4"/>
  <c r="EJ31" i="4"/>
  <c r="EJ32" i="4"/>
  <c r="EJ33" i="4"/>
  <c r="EJ34" i="4"/>
  <c r="EJ35" i="4"/>
  <c r="EJ36" i="4"/>
  <c r="EJ37" i="4"/>
  <c r="EJ38" i="4"/>
  <c r="FY36" i="4"/>
  <c r="FY35" i="4"/>
  <c r="FY34" i="4"/>
  <c r="FY33" i="4"/>
  <c r="FY32" i="4"/>
  <c r="FY31" i="4"/>
  <c r="FY30" i="4"/>
  <c r="FY29" i="4"/>
  <c r="FY28" i="4"/>
  <c r="FY27" i="4"/>
  <c r="FP36" i="4"/>
  <c r="FP35" i="4"/>
  <c r="FP34" i="4"/>
  <c r="FP33" i="4"/>
  <c r="FP32" i="4"/>
  <c r="FP31" i="4"/>
  <c r="FP30" i="4"/>
  <c r="FP29" i="4"/>
  <c r="FP28" i="4"/>
  <c r="FP27" i="4"/>
  <c r="FG36" i="4"/>
  <c r="FG35" i="4"/>
  <c r="FG34" i="4"/>
  <c r="FG33" i="4"/>
  <c r="FG32" i="4"/>
  <c r="FG31" i="4"/>
  <c r="FG30" i="4"/>
  <c r="FG29" i="4"/>
  <c r="FG28" i="4"/>
  <c r="FG27" i="4"/>
  <c r="EX36" i="4"/>
  <c r="EX35" i="4"/>
  <c r="EX34" i="4"/>
  <c r="EX33" i="4"/>
  <c r="EX32" i="4"/>
  <c r="EX31" i="4"/>
  <c r="EX30" i="4"/>
  <c r="EX29" i="4"/>
  <c r="EX28" i="4"/>
  <c r="EX27" i="4"/>
  <c r="EO36" i="4"/>
  <c r="EO35" i="4"/>
  <c r="EO34" i="4"/>
  <c r="EO33" i="4"/>
  <c r="EO32" i="4"/>
  <c r="EO31" i="4"/>
  <c r="EO30" i="4"/>
  <c r="EO29" i="4"/>
  <c r="EO28" i="4"/>
  <c r="EO27" i="4"/>
  <c r="M4" i="4"/>
  <c r="V11" i="4"/>
  <c r="I11" i="4"/>
  <c r="H11" i="4"/>
  <c r="H9" i="4"/>
  <c r="I9" i="4"/>
  <c r="V22" i="4"/>
  <c r="V19" i="4"/>
  <c r="W19" i="4"/>
  <c r="X19" i="4"/>
  <c r="U17" i="4"/>
  <c r="T10" i="4"/>
  <c r="V10" i="4"/>
  <c r="U10" i="4"/>
  <c r="T9" i="4"/>
  <c r="G15" i="16"/>
  <c r="K429" i="10" l="1"/>
  <c r="K428" i="10"/>
  <c r="K426" i="10"/>
  <c r="K425" i="10"/>
  <c r="K417" i="10"/>
  <c r="K416" i="10"/>
  <c r="K412" i="10"/>
  <c r="K408" i="10"/>
  <c r="K403" i="10"/>
  <c r="K402" i="10"/>
  <c r="K400" i="10"/>
  <c r="K399" i="10"/>
  <c r="K398" i="10"/>
  <c r="K374" i="10"/>
  <c r="K371" i="10"/>
  <c r="K368" i="10"/>
  <c r="K364" i="10"/>
  <c r="K363" i="10"/>
  <c r="K355" i="10"/>
  <c r="K353" i="10"/>
  <c r="K348" i="10"/>
  <c r="K347" i="10"/>
  <c r="K346" i="10"/>
  <c r="K345" i="10"/>
  <c r="K343" i="10"/>
  <c r="K341" i="10"/>
  <c r="K340" i="10"/>
  <c r="K333" i="10"/>
  <c r="K330" i="10"/>
  <c r="K327" i="10"/>
  <c r="K326" i="10"/>
  <c r="K325" i="10"/>
  <c r="K324" i="10"/>
  <c r="K322" i="10"/>
  <c r="K320" i="10"/>
  <c r="K319" i="10"/>
  <c r="K317" i="10"/>
  <c r="K311" i="10"/>
  <c r="K307" i="10"/>
  <c r="K304" i="10"/>
  <c r="K303" i="10"/>
  <c r="K302" i="10"/>
  <c r="K301" i="10"/>
  <c r="K300" i="10"/>
  <c r="K299" i="10"/>
  <c r="K298" i="10"/>
  <c r="K297" i="10"/>
  <c r="K296" i="10"/>
  <c r="K295" i="10"/>
  <c r="K294" i="10"/>
  <c r="K292" i="10"/>
  <c r="K291" i="10"/>
  <c r="K290" i="10"/>
  <c r="K287" i="10"/>
  <c r="K281" i="10"/>
  <c r="K272" i="10"/>
  <c r="K271" i="10"/>
  <c r="K270" i="10"/>
  <c r="K268" i="10"/>
  <c r="K267" i="10"/>
  <c r="K266" i="10"/>
  <c r="K265" i="10"/>
  <c r="K264" i="10"/>
  <c r="K263" i="10"/>
  <c r="K262" i="10"/>
  <c r="K261" i="10"/>
  <c r="K260" i="10"/>
  <c r="K259" i="10"/>
  <c r="K258" i="10"/>
  <c r="K257" i="10"/>
  <c r="K252" i="10"/>
  <c r="K245" i="10"/>
  <c r="K243" i="10"/>
  <c r="K240" i="10"/>
  <c r="K234" i="10"/>
  <c r="K225" i="10"/>
  <c r="K222" i="10"/>
  <c r="K221" i="10"/>
  <c r="K218" i="10"/>
  <c r="K205" i="10"/>
  <c r="K203" i="10"/>
  <c r="K201" i="10"/>
  <c r="K200" i="10"/>
  <c r="K194" i="10"/>
  <c r="K193" i="10"/>
  <c r="K187" i="10"/>
  <c r="K186" i="10"/>
  <c r="K182" i="10"/>
  <c r="K181" i="10"/>
  <c r="K180" i="10"/>
  <c r="K174" i="10"/>
  <c r="K170" i="10"/>
  <c r="K169" i="10"/>
  <c r="K166" i="10"/>
  <c r="K162" i="10"/>
  <c r="K161" i="10"/>
  <c r="K160" i="10"/>
  <c r="K158" i="10"/>
  <c r="K157" i="10"/>
  <c r="K154" i="10"/>
  <c r="K147" i="10"/>
  <c r="K145" i="10"/>
  <c r="K139" i="10"/>
  <c r="K137" i="10"/>
  <c r="K134" i="10"/>
  <c r="K132" i="10"/>
  <c r="K130" i="10"/>
  <c r="K129" i="10"/>
  <c r="K127" i="10"/>
  <c r="K124" i="10"/>
  <c r="K120" i="10"/>
  <c r="K118" i="10"/>
  <c r="K117" i="10"/>
  <c r="K116" i="10"/>
  <c r="K115" i="10"/>
  <c r="K109" i="10"/>
  <c r="K106" i="10"/>
  <c r="K100" i="10"/>
  <c r="K99" i="10"/>
  <c r="K98" i="10"/>
  <c r="K97" i="10"/>
  <c r="K96" i="10"/>
  <c r="K95" i="10"/>
  <c r="K94" i="10"/>
  <c r="K93" i="10"/>
  <c r="K92" i="10"/>
  <c r="K90" i="10"/>
  <c r="K85" i="10"/>
  <c r="K84" i="10"/>
  <c r="K80" i="10"/>
  <c r="K77" i="10"/>
  <c r="K73" i="10"/>
  <c r="K70" i="10"/>
  <c r="K67" i="10"/>
  <c r="K66" i="10"/>
  <c r="K58" i="10"/>
  <c r="K57" i="10"/>
  <c r="K56" i="10"/>
  <c r="K55" i="10"/>
  <c r="K54" i="10"/>
  <c r="K53" i="10"/>
  <c r="K52" i="10"/>
  <c r="K51" i="10"/>
  <c r="K50" i="10"/>
  <c r="K49" i="10"/>
  <c r="K48" i="10"/>
  <c r="K47" i="10"/>
  <c r="K46" i="10"/>
  <c r="K45" i="10"/>
  <c r="K44" i="10"/>
  <c r="K43" i="10"/>
  <c r="K42" i="10"/>
  <c r="K41" i="10"/>
  <c r="K40" i="10"/>
  <c r="K39" i="10"/>
  <c r="K38" i="10"/>
  <c r="K37" i="10"/>
  <c r="K34" i="10"/>
  <c r="K32" i="10"/>
  <c r="K29" i="10"/>
  <c r="K28" i="10"/>
  <c r="K27" i="10"/>
  <c r="K26" i="10"/>
  <c r="K25" i="10"/>
  <c r="K24" i="10"/>
  <c r="K23" i="10"/>
  <c r="K22" i="10"/>
  <c r="K21" i="10"/>
  <c r="K20" i="10"/>
  <c r="K17" i="10"/>
  <c r="S2" i="1" l="1"/>
  <c r="E2" i="1"/>
  <c r="E1" i="1"/>
  <c r="BG17" i="1" l="1"/>
  <c r="BF17" i="1"/>
  <c r="BD17" i="1"/>
  <c r="BC17" i="1"/>
  <c r="BG16" i="1"/>
  <c r="BF16" i="1"/>
  <c r="BD16" i="1"/>
  <c r="BC16" i="1"/>
  <c r="BG15" i="1"/>
  <c r="BF15" i="1"/>
  <c r="BD15" i="1"/>
  <c r="BC15" i="1"/>
  <c r="BG14" i="1"/>
  <c r="BF14" i="1"/>
  <c r="BD14" i="1"/>
  <c r="BC14" i="1"/>
  <c r="BG13" i="1"/>
  <c r="BF13" i="1"/>
  <c r="BD13" i="1"/>
  <c r="BC13" i="1"/>
  <c r="BG12" i="1"/>
  <c r="BF12" i="1"/>
  <c r="BD12" i="1"/>
  <c r="BC12" i="1"/>
  <c r="BC11" i="1"/>
  <c r="BC10" i="1"/>
  <c r="BC9" i="1"/>
  <c r="BC8" i="1"/>
  <c r="BC7" i="1"/>
  <c r="BC6" i="1"/>
  <c r="BC5" i="1"/>
  <c r="BC4" i="1"/>
  <c r="O22" i="2"/>
  <c r="BM40" i="2"/>
  <c r="AM32" i="1" l="1"/>
  <c r="AM31" i="1"/>
  <c r="AM30" i="1"/>
  <c r="AM29" i="1"/>
  <c r="AM28" i="1"/>
  <c r="AM27" i="1"/>
  <c r="AM26" i="1"/>
  <c r="AM25" i="1"/>
  <c r="AM23" i="1"/>
  <c r="AM22" i="1"/>
  <c r="AM21" i="1"/>
  <c r="AM20" i="1"/>
  <c r="AM19" i="1"/>
  <c r="AM18" i="1"/>
  <c r="AM17" i="1"/>
  <c r="AM16" i="1"/>
  <c r="AM15" i="1"/>
  <c r="AM14" i="1"/>
  <c r="AM13" i="1"/>
  <c r="AM12" i="1"/>
  <c r="AM11" i="1"/>
  <c r="AM10" i="1"/>
  <c r="AM9" i="1"/>
  <c r="AM24" i="1"/>
  <c r="BN17" i="1"/>
  <c r="BL17" i="1"/>
  <c r="BJ17" i="1"/>
  <c r="BA17" i="1"/>
  <c r="BN16" i="1"/>
  <c r="BL16" i="1"/>
  <c r="BJ16" i="1"/>
  <c r="BA16" i="1"/>
  <c r="BN15" i="1"/>
  <c r="BL15" i="1"/>
  <c r="BJ15" i="1"/>
  <c r="BA15" i="1"/>
  <c r="BN14" i="1"/>
  <c r="BL14" i="1"/>
  <c r="BJ14" i="1"/>
  <c r="BA14" i="1"/>
  <c r="BN13" i="1"/>
  <c r="BL13" i="1"/>
  <c r="BJ13" i="1"/>
  <c r="BA13" i="1"/>
  <c r="BN12" i="1"/>
  <c r="BL12" i="1"/>
  <c r="BJ12" i="1"/>
  <c r="BA12" i="1"/>
  <c r="BN11" i="1"/>
  <c r="BL11" i="1"/>
  <c r="BJ11" i="1"/>
  <c r="BA11" i="1"/>
  <c r="BN10" i="1"/>
  <c r="BL10" i="1"/>
  <c r="BJ10" i="1"/>
  <c r="BA10" i="1"/>
  <c r="BN9" i="1"/>
  <c r="BL9" i="1"/>
  <c r="BJ9" i="1"/>
  <c r="BA9" i="1"/>
  <c r="BN8" i="1"/>
  <c r="BL8" i="1"/>
  <c r="BJ8" i="1"/>
  <c r="BA8" i="1"/>
  <c r="BN7" i="1"/>
  <c r="BL7" i="1"/>
  <c r="BJ7" i="1"/>
  <c r="BA7" i="1"/>
  <c r="BN6" i="1"/>
  <c r="BL6" i="1"/>
  <c r="BJ6" i="1"/>
  <c r="BA6" i="1"/>
  <c r="BN5" i="1"/>
  <c r="BL5" i="1"/>
  <c r="BJ5" i="1"/>
  <c r="BA5" i="1"/>
  <c r="BN4" i="1"/>
  <c r="BL4" i="1"/>
  <c r="BJ4" i="1"/>
  <c r="BA4" i="1"/>
  <c r="BH9" i="2"/>
  <c r="BH10" i="2"/>
  <c r="G58" i="10" l="1"/>
  <c r="G234" i="10"/>
  <c r="G417" i="10"/>
  <c r="G290" i="10"/>
  <c r="G57" i="10"/>
  <c r="G73" i="10"/>
  <c r="G345" i="10"/>
  <c r="G93" i="10"/>
  <c r="G257" i="10"/>
  <c r="G319" i="10"/>
  <c r="G180" i="10"/>
  <c r="G124" i="10"/>
  <c r="G317" i="10"/>
  <c r="G307" i="10"/>
  <c r="G158" i="10"/>
  <c r="G429" i="10"/>
  <c r="G157" i="10"/>
  <c r="G56" i="10"/>
  <c r="G84" i="10"/>
  <c r="G162" i="10"/>
  <c r="G120" i="10"/>
  <c r="G281" i="10"/>
  <c r="G55" i="10"/>
  <c r="G85" i="10"/>
  <c r="G353" i="10"/>
  <c r="G398" i="10"/>
  <c r="G355" i="10"/>
  <c r="G54" i="10"/>
  <c r="G90" i="10"/>
  <c r="G425" i="10"/>
  <c r="G347" i="10"/>
  <c r="G17" i="10"/>
  <c r="G292" i="10"/>
  <c r="G100" i="10"/>
  <c r="G218" i="10"/>
  <c r="G170" i="10"/>
  <c r="G327" i="10"/>
  <c r="G368" i="10"/>
  <c r="G291" i="10"/>
  <c r="G222" i="10"/>
  <c r="G225" i="10"/>
  <c r="G53" i="10"/>
  <c r="G92" i="10"/>
  <c r="G320" i="10"/>
  <c r="G245" i="10"/>
  <c r="G95" i="10"/>
  <c r="G402" i="10"/>
  <c r="G403" i="10"/>
  <c r="G52" i="10"/>
  <c r="G37" i="10"/>
  <c r="G51" i="10"/>
  <c r="G240" i="10"/>
  <c r="G346" i="10"/>
  <c r="G348" i="10"/>
  <c r="G50" i="10"/>
  <c r="G77" i="10"/>
  <c r="G49" i="10"/>
  <c r="G330" i="10"/>
  <c r="G343" i="10"/>
  <c r="G137" i="10"/>
  <c r="G174" i="10"/>
  <c r="G116" i="10"/>
  <c r="G118" i="10"/>
  <c r="G139" i="10"/>
  <c r="G364" i="10"/>
  <c r="G363" i="10"/>
  <c r="G193" i="10"/>
  <c r="G203" i="10"/>
  <c r="G66" i="10"/>
  <c r="G147" i="10"/>
  <c r="G97" i="10"/>
  <c r="G311" i="10"/>
  <c r="G374" i="10"/>
  <c r="G287" i="10"/>
  <c r="G324" i="10"/>
  <c r="G271" i="10"/>
  <c r="G272" i="10"/>
  <c r="G94" i="10"/>
  <c r="G243" i="10"/>
  <c r="G428" i="10"/>
  <c r="G48" i="10"/>
  <c r="G127" i="10"/>
  <c r="G221" i="10"/>
  <c r="G333" i="10"/>
  <c r="G47" i="10"/>
  <c r="G34" i="10"/>
  <c r="G46" i="10"/>
  <c r="G326" i="10"/>
  <c r="G98" i="10"/>
  <c r="G416" i="10"/>
  <c r="G99" i="10"/>
  <c r="G96" i="10"/>
  <c r="G45" i="10"/>
  <c r="G426" i="10"/>
  <c r="G169" i="10"/>
  <c r="G200" i="10"/>
  <c r="G400" i="10"/>
  <c r="G166" i="10"/>
  <c r="G44" i="10"/>
  <c r="G115" i="10"/>
  <c r="G160" i="10"/>
  <c r="G161" i="10"/>
  <c r="G70" i="10"/>
  <c r="G80" i="10"/>
  <c r="G154" i="10"/>
  <c r="G43" i="10"/>
  <c r="G182" i="10"/>
  <c r="G181" i="10"/>
  <c r="G67" i="10"/>
  <c r="G194" i="10"/>
  <c r="G42" i="10"/>
  <c r="G130" i="10"/>
  <c r="G132" i="10"/>
  <c r="G322" i="10"/>
  <c r="G129" i="10"/>
  <c r="G325" i="10"/>
  <c r="G41" i="10"/>
  <c r="G186" i="10"/>
  <c r="G258" i="10"/>
  <c r="G109" i="10"/>
  <c r="G40" i="10"/>
  <c r="G134" i="10"/>
  <c r="G340" i="10"/>
  <c r="G341" i="10"/>
  <c r="G2" i="10"/>
  <c r="G270" i="10"/>
  <c r="G117" i="10"/>
  <c r="G399" i="10"/>
  <c r="G252" i="10"/>
  <c r="G39" i="10"/>
  <c r="G145" i="10"/>
  <c r="G32" i="10"/>
  <c r="G187" i="10"/>
  <c r="G201" i="10"/>
  <c r="G205" i="10"/>
  <c r="G21" i="10"/>
  <c r="G29" i="10"/>
  <c r="G28" i="10"/>
  <c r="G27" i="10"/>
  <c r="G26" i="10"/>
  <c r="G25" i="10"/>
  <c r="G24" i="10"/>
  <c r="G23" i="10"/>
  <c r="G22" i="10"/>
  <c r="G20" i="10"/>
  <c r="G38" i="10"/>
  <c r="G304" i="10"/>
  <c r="G106" i="10"/>
  <c r="E58" i="10"/>
  <c r="E234" i="10"/>
  <c r="E417" i="10"/>
  <c r="E290" i="10"/>
  <c r="E57" i="10"/>
  <c r="E73" i="10"/>
  <c r="E345" i="10"/>
  <c r="E93" i="10"/>
  <c r="E257" i="10"/>
  <c r="E319" i="10"/>
  <c r="E180" i="10"/>
  <c r="E124" i="10"/>
  <c r="E317" i="10"/>
  <c r="E307" i="10"/>
  <c r="E158" i="10"/>
  <c r="E429" i="10"/>
  <c r="E157" i="10"/>
  <c r="E56" i="10"/>
  <c r="E84" i="10"/>
  <c r="E162" i="10"/>
  <c r="E120" i="10"/>
  <c r="E281" i="10"/>
  <c r="E55" i="10"/>
  <c r="E85" i="10"/>
  <c r="E353" i="10"/>
  <c r="E54" i="10"/>
  <c r="E90" i="10"/>
  <c r="E425" i="10"/>
  <c r="E347" i="10"/>
  <c r="E17" i="10"/>
  <c r="E292" i="10"/>
  <c r="E100" i="10"/>
  <c r="E218" i="10"/>
  <c r="E170" i="10"/>
  <c r="E327" i="10"/>
  <c r="E368" i="10"/>
  <c r="E291" i="10"/>
  <c r="E222" i="10"/>
  <c r="E225" i="10"/>
  <c r="E53" i="10"/>
  <c r="E92" i="10"/>
  <c r="E320" i="10"/>
  <c r="E245" i="10"/>
  <c r="E95" i="10"/>
  <c r="E402" i="10"/>
  <c r="E403" i="10"/>
  <c r="E52" i="10"/>
  <c r="E37" i="10"/>
  <c r="E51" i="10"/>
  <c r="E240" i="10"/>
  <c r="E346" i="10"/>
  <c r="E348" i="10"/>
  <c r="E50" i="10"/>
  <c r="E77" i="10"/>
  <c r="E49" i="10"/>
  <c r="E330" i="10"/>
  <c r="E343" i="10"/>
  <c r="E137" i="10"/>
  <c r="E174" i="10"/>
  <c r="E116" i="10"/>
  <c r="E118" i="10"/>
  <c r="E139" i="10"/>
  <c r="E364" i="10"/>
  <c r="E363" i="10"/>
  <c r="E193" i="10"/>
  <c r="E203" i="10"/>
  <c r="E66" i="10"/>
  <c r="E97" i="10"/>
  <c r="E374" i="10"/>
  <c r="I374" i="10" s="1"/>
  <c r="E287" i="10"/>
  <c r="I287" i="10" s="1"/>
  <c r="E271" i="10"/>
  <c r="E94" i="10"/>
  <c r="E243" i="10"/>
  <c r="E428" i="10"/>
  <c r="E48" i="10"/>
  <c r="E127" i="10"/>
  <c r="E221" i="10"/>
  <c r="E333" i="10"/>
  <c r="E47" i="10"/>
  <c r="E34" i="10"/>
  <c r="E46" i="10"/>
  <c r="E326" i="10"/>
  <c r="E98" i="10"/>
  <c r="E416" i="10"/>
  <c r="E99" i="10"/>
  <c r="E96" i="10"/>
  <c r="E45" i="10"/>
  <c r="E426" i="10"/>
  <c r="E169" i="10"/>
  <c r="E200" i="10"/>
  <c r="E400" i="10"/>
  <c r="E166" i="10"/>
  <c r="E44" i="10"/>
  <c r="E115" i="10"/>
  <c r="E160" i="10"/>
  <c r="E161" i="10"/>
  <c r="E70" i="10"/>
  <c r="E80" i="10"/>
  <c r="E154" i="10"/>
  <c r="E43" i="10"/>
  <c r="E182" i="10"/>
  <c r="E181" i="10"/>
  <c r="E67" i="10"/>
  <c r="E194" i="10"/>
  <c r="E42" i="10"/>
  <c r="E130" i="10"/>
  <c r="E132" i="10"/>
  <c r="E322" i="10"/>
  <c r="E129" i="10"/>
  <c r="E325" i="10"/>
  <c r="E41" i="10"/>
  <c r="E186" i="10"/>
  <c r="E258" i="10"/>
  <c r="E109" i="10"/>
  <c r="E40" i="10"/>
  <c r="E276" i="10"/>
  <c r="E341" i="10"/>
  <c r="E2" i="10"/>
  <c r="E270" i="10"/>
  <c r="E117" i="10"/>
  <c r="E399" i="10"/>
  <c r="E252" i="10"/>
  <c r="E39" i="10"/>
  <c r="E145" i="10"/>
  <c r="E32" i="10"/>
  <c r="E335" i="10"/>
  <c r="E7" i="10"/>
  <c r="E187" i="10"/>
  <c r="E201" i="10"/>
  <c r="E205" i="10"/>
  <c r="E21" i="10"/>
  <c r="E29" i="10"/>
  <c r="E28" i="10"/>
  <c r="E27" i="10"/>
  <c r="E26" i="10"/>
  <c r="E25" i="10"/>
  <c r="E24" i="10"/>
  <c r="E23" i="10"/>
  <c r="E22" i="10"/>
  <c r="E20" i="10"/>
  <c r="E38" i="10"/>
  <c r="E304" i="10"/>
  <c r="E106" i="10"/>
  <c r="I116" i="10" l="1"/>
  <c r="I348" i="10"/>
  <c r="I95" i="10"/>
  <c r="I368" i="10"/>
  <c r="I425" i="10"/>
  <c r="I127" i="10"/>
  <c r="I162" i="10"/>
  <c r="I124" i="10"/>
  <c r="I290" i="10"/>
  <c r="I166" i="10"/>
  <c r="I43" i="10"/>
  <c r="I40" i="10"/>
  <c r="I132" i="10"/>
  <c r="I154" i="10"/>
  <c r="I400" i="10"/>
  <c r="I98" i="10"/>
  <c r="I84" i="10"/>
  <c r="I180" i="10"/>
  <c r="I417" i="10"/>
  <c r="I20" i="10"/>
  <c r="I322" i="10"/>
  <c r="I29" i="10"/>
  <c r="I364" i="10"/>
  <c r="I49" i="10"/>
  <c r="I52" i="10"/>
  <c r="I292" i="10"/>
  <c r="I39" i="10"/>
  <c r="I193" i="10"/>
  <c r="I343" i="10"/>
  <c r="I51" i="10"/>
  <c r="I92" i="10"/>
  <c r="I218" i="10"/>
  <c r="I353" i="10"/>
  <c r="I157" i="10"/>
  <c r="I257" i="10"/>
  <c r="I58" i="10"/>
  <c r="I363" i="10"/>
  <c r="I330" i="10"/>
  <c r="I37" i="10"/>
  <c r="I53" i="10"/>
  <c r="I100" i="10"/>
  <c r="I201" i="10"/>
  <c r="I186" i="10"/>
  <c r="I194" i="10"/>
  <c r="I161" i="10"/>
  <c r="I426" i="10"/>
  <c r="I34" i="10"/>
  <c r="I94" i="10"/>
  <c r="I270" i="10"/>
  <c r="I24" i="10"/>
  <c r="I281" i="10"/>
  <c r="I307" i="10"/>
  <c r="I73" i="10"/>
  <c r="I252" i="10"/>
  <c r="I2" i="10"/>
  <c r="I145" i="10"/>
  <c r="I304" i="10"/>
  <c r="I27" i="10"/>
  <c r="I66" i="10"/>
  <c r="I174" i="10"/>
  <c r="I346" i="10"/>
  <c r="I245" i="10"/>
  <c r="I327" i="10"/>
  <c r="I90" i="10"/>
  <c r="I187" i="10"/>
  <c r="I26" i="10"/>
  <c r="I115" i="10"/>
  <c r="I25" i="10"/>
  <c r="I106" i="10"/>
  <c r="I41" i="10"/>
  <c r="I325" i="10"/>
  <c r="I181" i="10"/>
  <c r="I96" i="10"/>
  <c r="I333" i="10"/>
  <c r="I22" i="10"/>
  <c r="I21" i="10"/>
  <c r="I399" i="10"/>
  <c r="I85" i="10"/>
  <c r="I429" i="10"/>
  <c r="I93" i="10"/>
  <c r="I139" i="10"/>
  <c r="I77" i="10"/>
  <c r="I403" i="10"/>
  <c r="I222" i="10"/>
  <c r="I17" i="10"/>
  <c r="I129" i="10"/>
  <c r="I182" i="10"/>
  <c r="I44" i="10"/>
  <c r="I99" i="10"/>
  <c r="I221" i="10"/>
  <c r="I416" i="10"/>
  <c r="I97" i="10"/>
  <c r="I23" i="10"/>
  <c r="I205" i="10"/>
  <c r="I109" i="10"/>
  <c r="I130" i="10"/>
  <c r="I80" i="10"/>
  <c r="I200" i="10"/>
  <c r="I326" i="10"/>
  <c r="I428" i="10"/>
  <c r="I203" i="10"/>
  <c r="I137" i="10"/>
  <c r="I240" i="10"/>
  <c r="I320" i="10"/>
  <c r="I170" i="10"/>
  <c r="I54" i="10"/>
  <c r="I56" i="10"/>
  <c r="I319" i="10"/>
  <c r="I234" i="10"/>
  <c r="M48" i="10"/>
  <c r="I48" i="10"/>
  <c r="I258" i="10"/>
  <c r="I42" i="10"/>
  <c r="I70" i="10"/>
  <c r="I169" i="10"/>
  <c r="I46" i="10"/>
  <c r="I243" i="10"/>
  <c r="I117" i="10"/>
  <c r="I67" i="10"/>
  <c r="I160" i="10"/>
  <c r="I45" i="10"/>
  <c r="I47" i="10"/>
  <c r="I271" i="10"/>
  <c r="M55" i="10"/>
  <c r="I55" i="10"/>
  <c r="I158" i="10"/>
  <c r="I345" i="10"/>
  <c r="M2" i="10"/>
  <c r="I38" i="10"/>
  <c r="I28" i="10"/>
  <c r="I32" i="10"/>
  <c r="I341" i="10"/>
  <c r="I118" i="10"/>
  <c r="I50" i="10"/>
  <c r="I402" i="10"/>
  <c r="I291" i="10"/>
  <c r="I347" i="10"/>
  <c r="I120" i="10"/>
  <c r="I317" i="10"/>
  <c r="I57" i="10"/>
  <c r="M46" i="11"/>
  <c r="L46" i="11"/>
  <c r="K46" i="11"/>
  <c r="M45" i="11"/>
  <c r="L45" i="11"/>
  <c r="K45" i="11"/>
  <c r="M44" i="11"/>
  <c r="L44" i="11"/>
  <c r="N43" i="11"/>
  <c r="L43" i="11"/>
  <c r="N42" i="11"/>
  <c r="K42" i="11"/>
  <c r="N41" i="11"/>
  <c r="M41" i="11"/>
  <c r="K41" i="11"/>
  <c r="K40" i="11"/>
  <c r="N39" i="11"/>
  <c r="K39" i="11"/>
  <c r="L38" i="11"/>
  <c r="K38" i="11"/>
  <c r="L37" i="11"/>
  <c r="O26" i="4" l="1"/>
  <c r="N26" i="4"/>
  <c r="M26" i="4"/>
  <c r="L26" i="4"/>
  <c r="K26" i="4"/>
  <c r="CO7" i="4"/>
  <c r="CB4" i="4"/>
  <c r="CC4" i="4" s="1"/>
  <c r="CE26" i="4"/>
  <c r="CF26" i="4" s="1"/>
  <c r="BZ14" i="4"/>
  <c r="BZ7" i="4"/>
  <c r="CA7" i="4" s="1"/>
  <c r="CB7" i="4" l="1"/>
  <c r="CC7" i="4" s="1"/>
  <c r="CP7" i="4"/>
  <c r="CQ7" i="4" s="1"/>
  <c r="CD4" i="4"/>
  <c r="CE4" i="4" s="1"/>
  <c r="CG26" i="4"/>
  <c r="CA14" i="4"/>
  <c r="CD7" i="4" l="1"/>
  <c r="CE7" i="4" s="1"/>
  <c r="CF7" i="4" s="1"/>
  <c r="CF4" i="4"/>
  <c r="CG4" i="4" s="1"/>
  <c r="CH4" i="4" s="1"/>
  <c r="CR7" i="4"/>
  <c r="CH26" i="4"/>
  <c r="CI26" i="4" s="1"/>
  <c r="CB14" i="4"/>
  <c r="CI4" i="4" l="1"/>
  <c r="CC14" i="4"/>
  <c r="CD14" i="4" s="1"/>
  <c r="CG7" i="4"/>
  <c r="CH7" i="4" s="1"/>
  <c r="CI7" i="4" s="1"/>
  <c r="CE14" i="4" l="1"/>
  <c r="CF14" i="4" s="1"/>
  <c r="E35" i="15"/>
  <c r="E29" i="15"/>
  <c r="E23" i="15"/>
  <c r="E35" i="3"/>
  <c r="E29" i="3"/>
  <c r="E23" i="3"/>
  <c r="O4" i="4"/>
  <c r="N4" i="4"/>
  <c r="L4" i="4"/>
  <c r="K4" i="4"/>
  <c r="J4" i="4"/>
  <c r="I4" i="4"/>
  <c r="H4" i="4"/>
  <c r="G4" i="4"/>
  <c r="F4" i="4"/>
  <c r="AU3" i="3" l="1"/>
  <c r="CG14" i="4"/>
  <c r="CH14" i="4" s="1"/>
  <c r="CI14" i="4" s="1"/>
  <c r="BM40" i="15"/>
  <c r="BM41" i="15" s="1"/>
  <c r="BM42" i="15" s="1"/>
  <c r="BM40" i="3"/>
  <c r="BM41" i="3" s="1"/>
  <c r="BM42" i="3" s="1"/>
  <c r="BS12" i="2"/>
  <c r="BS11" i="2"/>
  <c r="BS10" i="2"/>
  <c r="BS9" i="2"/>
  <c r="BS8" i="2"/>
  <c r="BS7" i="2"/>
  <c r="BS6" i="2"/>
  <c r="BS5" i="2"/>
  <c r="BS4" i="2"/>
  <c r="AF42" i="2"/>
  <c r="AK7" i="1"/>
  <c r="CD2" i="15"/>
  <c r="BS10" i="15" s="1"/>
  <c r="CD1" i="15"/>
  <c r="AC7" i="1" s="1"/>
  <c r="AS7" i="1" s="1"/>
  <c r="Y9" i="1" s="1"/>
  <c r="Q43" i="15"/>
  <c r="U43" i="15" s="1"/>
  <c r="Q41" i="15"/>
  <c r="U41" i="15"/>
  <c r="BQ13" i="15"/>
  <c r="BO13" i="15"/>
  <c r="U41" i="3"/>
  <c r="Q41" i="3"/>
  <c r="BQ13" i="3"/>
  <c r="Q39" i="3" s="1"/>
  <c r="BO13" i="3"/>
  <c r="AT33" i="15"/>
  <c r="AT32" i="15"/>
  <c r="AT31" i="15"/>
  <c r="AT30" i="15"/>
  <c r="AT29" i="15"/>
  <c r="AT28" i="15"/>
  <c r="AT27" i="15"/>
  <c r="AT26" i="15"/>
  <c r="AT25" i="15"/>
  <c r="AT24" i="15"/>
  <c r="AT23" i="15"/>
  <c r="AT22" i="15"/>
  <c r="AT21" i="15"/>
  <c r="AT20" i="15"/>
  <c r="AT19" i="15"/>
  <c r="AT18" i="15"/>
  <c r="AT17" i="15"/>
  <c r="AT16" i="15"/>
  <c r="AT15" i="15"/>
  <c r="AT14" i="15"/>
  <c r="AT13" i="15"/>
  <c r="AT12" i="15"/>
  <c r="AT11" i="15"/>
  <c r="AT10" i="15"/>
  <c r="AT9" i="15"/>
  <c r="AT8" i="15"/>
  <c r="AT7" i="15"/>
  <c r="AT6" i="15"/>
  <c r="AT33" i="3"/>
  <c r="AT32" i="3"/>
  <c r="AT31" i="3"/>
  <c r="AT30" i="3"/>
  <c r="AT29" i="3"/>
  <c r="AT28" i="3"/>
  <c r="AT27" i="3"/>
  <c r="AT26" i="3"/>
  <c r="AT25" i="3"/>
  <c r="AT24" i="3"/>
  <c r="AT23" i="3"/>
  <c r="AT22" i="3"/>
  <c r="AT21" i="3"/>
  <c r="AT20" i="3"/>
  <c r="AT19" i="3"/>
  <c r="AT18" i="3"/>
  <c r="AT17" i="3"/>
  <c r="AT16" i="3"/>
  <c r="AT15" i="3"/>
  <c r="AT14" i="3"/>
  <c r="AT13" i="3"/>
  <c r="AT12" i="3"/>
  <c r="AT11" i="3"/>
  <c r="AT10" i="3"/>
  <c r="AT9" i="3"/>
  <c r="AT8" i="3"/>
  <c r="AT7" i="3"/>
  <c r="AT6" i="3"/>
  <c r="BY46" i="15"/>
  <c r="BY45" i="15"/>
  <c r="BY44" i="15"/>
  <c r="BY43" i="15"/>
  <c r="BY42" i="15"/>
  <c r="BY41" i="15"/>
  <c r="BY40" i="15"/>
  <c r="BY39" i="15"/>
  <c r="BY38" i="15"/>
  <c r="BY37" i="15"/>
  <c r="BY36" i="15"/>
  <c r="BY35" i="15"/>
  <c r="BY34" i="15"/>
  <c r="BY33" i="15"/>
  <c r="BY32" i="15"/>
  <c r="BY31" i="15"/>
  <c r="BY30" i="15"/>
  <c r="BY29" i="15"/>
  <c r="BY28" i="15"/>
  <c r="BY27" i="15"/>
  <c r="BY26" i="15"/>
  <c r="BY25" i="15"/>
  <c r="BY24" i="15"/>
  <c r="BY23" i="15"/>
  <c r="BY22" i="15"/>
  <c r="BY21" i="15"/>
  <c r="BY20" i="15"/>
  <c r="BY19" i="15"/>
  <c r="BY18" i="15"/>
  <c r="BY17" i="15"/>
  <c r="BY16" i="15"/>
  <c r="BY15" i="15"/>
  <c r="BY14" i="15"/>
  <c r="BY13" i="15"/>
  <c r="BY12" i="15"/>
  <c r="BY11" i="15"/>
  <c r="BY10" i="15"/>
  <c r="BY9" i="15"/>
  <c r="BY8" i="15"/>
  <c r="BY7" i="15"/>
  <c r="BY6" i="15"/>
  <c r="BY5" i="15"/>
  <c r="BY4" i="15"/>
  <c r="BY46" i="3"/>
  <c r="BY45" i="3"/>
  <c r="BY44" i="3"/>
  <c r="BY43" i="3"/>
  <c r="BY42" i="3"/>
  <c r="BY41" i="3"/>
  <c r="BY40" i="3"/>
  <c r="BY39" i="3"/>
  <c r="BY38" i="3"/>
  <c r="BY37" i="3"/>
  <c r="BY36" i="3"/>
  <c r="BY35" i="3"/>
  <c r="BY34" i="3"/>
  <c r="BY33" i="3"/>
  <c r="BY32" i="3"/>
  <c r="BY31" i="3"/>
  <c r="BY30" i="3"/>
  <c r="BY29" i="3"/>
  <c r="BY28" i="3"/>
  <c r="BY27" i="3"/>
  <c r="BY26" i="3"/>
  <c r="BY25" i="3"/>
  <c r="BY24" i="3"/>
  <c r="BY23" i="3"/>
  <c r="BY22" i="3"/>
  <c r="BY21" i="3"/>
  <c r="BY20" i="3"/>
  <c r="BY19" i="3"/>
  <c r="BY18" i="3"/>
  <c r="BY17" i="3"/>
  <c r="BY16" i="3"/>
  <c r="BY15" i="3"/>
  <c r="BY14" i="3"/>
  <c r="BY13" i="3"/>
  <c r="BY12" i="3"/>
  <c r="BY11" i="3"/>
  <c r="BY10" i="3"/>
  <c r="BY9" i="3"/>
  <c r="BY8" i="3"/>
  <c r="BY7" i="3"/>
  <c r="BY6" i="3"/>
  <c r="BY5" i="3"/>
  <c r="BY4" i="3"/>
  <c r="BE46" i="15"/>
  <c r="BE45" i="15"/>
  <c r="BE44" i="15"/>
  <c r="BE43" i="15"/>
  <c r="BE42" i="15"/>
  <c r="BE41" i="15"/>
  <c r="BE40" i="15"/>
  <c r="BE39" i="15"/>
  <c r="BE38" i="15"/>
  <c r="BE37" i="15"/>
  <c r="BE36" i="15"/>
  <c r="BE35" i="15"/>
  <c r="BE34" i="15"/>
  <c r="BE33" i="15"/>
  <c r="BE32" i="15"/>
  <c r="BE31" i="15"/>
  <c r="BE30" i="15"/>
  <c r="BE29" i="15"/>
  <c r="BE28" i="15"/>
  <c r="BE27" i="15"/>
  <c r="BE26" i="15"/>
  <c r="BE25" i="15"/>
  <c r="BE24" i="15"/>
  <c r="BE23" i="15"/>
  <c r="BE22" i="15"/>
  <c r="BE21" i="15"/>
  <c r="BE20" i="15"/>
  <c r="BE19" i="15"/>
  <c r="BE18" i="15"/>
  <c r="BE17" i="15"/>
  <c r="BE16" i="15"/>
  <c r="BE15" i="15"/>
  <c r="BE14" i="15"/>
  <c r="BE13" i="15"/>
  <c r="BE12" i="15"/>
  <c r="BE11" i="15"/>
  <c r="BE10" i="15"/>
  <c r="BE9" i="15"/>
  <c r="BE8" i="15"/>
  <c r="BE7" i="15"/>
  <c r="BE6" i="15"/>
  <c r="BE5" i="15"/>
  <c r="BE4" i="15"/>
  <c r="BE46" i="3"/>
  <c r="BE45" i="3"/>
  <c r="BE44" i="3"/>
  <c r="BE43" i="3"/>
  <c r="BE42" i="3"/>
  <c r="BE41" i="3"/>
  <c r="BE40" i="3"/>
  <c r="BE39" i="3"/>
  <c r="BE38" i="3"/>
  <c r="BE37" i="3"/>
  <c r="BE36" i="3"/>
  <c r="BE35" i="3"/>
  <c r="BE34" i="3"/>
  <c r="BE33" i="3"/>
  <c r="BE32" i="3"/>
  <c r="BE31" i="3"/>
  <c r="BE30" i="3"/>
  <c r="BE29" i="3"/>
  <c r="BE28" i="3"/>
  <c r="BE27" i="3"/>
  <c r="BE26" i="3"/>
  <c r="BE25" i="3"/>
  <c r="BE24" i="3"/>
  <c r="BE23" i="3"/>
  <c r="BE22" i="3"/>
  <c r="BE21" i="3"/>
  <c r="BE20" i="3"/>
  <c r="BE19" i="3"/>
  <c r="BE18" i="3"/>
  <c r="BE17" i="3"/>
  <c r="BE16" i="3"/>
  <c r="BE15" i="3"/>
  <c r="BE14" i="3"/>
  <c r="BE13" i="3"/>
  <c r="BE12" i="3"/>
  <c r="BE11" i="3"/>
  <c r="BE10" i="3"/>
  <c r="BE9" i="3"/>
  <c r="BE8" i="3"/>
  <c r="BE7" i="3"/>
  <c r="Q39" i="15"/>
  <c r="E42" i="15"/>
  <c r="I42" i="15" s="1"/>
  <c r="E41" i="15"/>
  <c r="I41" i="15" s="1"/>
  <c r="E40" i="15"/>
  <c r="E39" i="15"/>
  <c r="I39" i="15" s="1"/>
  <c r="Q43" i="3"/>
  <c r="U43" i="3" s="1"/>
  <c r="E42" i="3"/>
  <c r="I42" i="3" s="1"/>
  <c r="E41" i="3"/>
  <c r="I41" i="3" s="1"/>
  <c r="E40" i="3"/>
  <c r="E39" i="3"/>
  <c r="I39" i="3" s="1"/>
  <c r="E40" i="2"/>
  <c r="BE46" i="2"/>
  <c r="BE45" i="2"/>
  <c r="BE44" i="2"/>
  <c r="BE43" i="2"/>
  <c r="BE42" i="2"/>
  <c r="BE41" i="2"/>
  <c r="BE40" i="2"/>
  <c r="BE39" i="2"/>
  <c r="BE38" i="2"/>
  <c r="BE37" i="2"/>
  <c r="BE36" i="2"/>
  <c r="BE35" i="2"/>
  <c r="BE34" i="2"/>
  <c r="BE33" i="2"/>
  <c r="BE32" i="2"/>
  <c r="BE31" i="2"/>
  <c r="BE30" i="2"/>
  <c r="BE29" i="2"/>
  <c r="BE28" i="2"/>
  <c r="BE27" i="2"/>
  <c r="BE26" i="2"/>
  <c r="BE25" i="2"/>
  <c r="BE24" i="2"/>
  <c r="BE23" i="2"/>
  <c r="BE22" i="2"/>
  <c r="BE21" i="2"/>
  <c r="BE20" i="2"/>
  <c r="BE19" i="2"/>
  <c r="BE18" i="2"/>
  <c r="BE17" i="2"/>
  <c r="BE16" i="2"/>
  <c r="BE15" i="2"/>
  <c r="BE14" i="2"/>
  <c r="BE13" i="2"/>
  <c r="BE12" i="2"/>
  <c r="BE11" i="2"/>
  <c r="BE10" i="2"/>
  <c r="BE9" i="2"/>
  <c r="BE8" i="2"/>
  <c r="BE7" i="2"/>
  <c r="BE6" i="2"/>
  <c r="BE5" i="2"/>
  <c r="BE4" i="2"/>
  <c r="DS13" i="1"/>
  <c r="DS12" i="1"/>
  <c r="DS11" i="1"/>
  <c r="DS10" i="1"/>
  <c r="DS9" i="1"/>
  <c r="DS8" i="1"/>
  <c r="DS7" i="1"/>
  <c r="BK4" i="1" s="1"/>
  <c r="DS6" i="1"/>
  <c r="DS5" i="1"/>
  <c r="DS4" i="1"/>
  <c r="DR13" i="1"/>
  <c r="DR12" i="1"/>
  <c r="DR11" i="1"/>
  <c r="DR10" i="1"/>
  <c r="DR9" i="1"/>
  <c r="DR8" i="1"/>
  <c r="DR7" i="1"/>
  <c r="DR6" i="1"/>
  <c r="DR5" i="1"/>
  <c r="DQ13" i="1"/>
  <c r="DQ12" i="1"/>
  <c r="DQ11" i="1"/>
  <c r="DQ10" i="1"/>
  <c r="DQ9" i="1"/>
  <c r="DQ8" i="1"/>
  <c r="DQ7" i="1"/>
  <c r="DQ6" i="1"/>
  <c r="DQ5" i="1"/>
  <c r="EM48" i="4" l="1"/>
  <c r="EL48" i="4"/>
  <c r="ED48" i="4"/>
  <c r="EI48" i="4"/>
  <c r="EH48" i="4"/>
  <c r="EG48" i="4"/>
  <c r="EN48" i="4"/>
  <c r="EF48" i="4"/>
  <c r="EE48" i="4"/>
  <c r="EK48" i="4"/>
  <c r="EJ48" i="4"/>
  <c r="Q42" i="15"/>
  <c r="U40" i="15"/>
  <c r="Q40" i="15" s="1"/>
  <c r="U40" i="3"/>
  <c r="Q40" i="3" s="1"/>
  <c r="E36" i="11"/>
  <c r="E54" i="11"/>
  <c r="G371" i="10" s="1"/>
  <c r="Q42" i="3"/>
  <c r="BS7" i="15"/>
  <c r="BS8" i="15"/>
  <c r="BS11" i="15"/>
  <c r="AF38" i="15"/>
  <c r="AF34" i="15"/>
  <c r="BS4" i="15"/>
  <c r="BS12" i="15"/>
  <c r="AF36" i="15"/>
  <c r="BS5" i="15"/>
  <c r="BS6" i="15"/>
  <c r="BS9" i="15"/>
  <c r="BD46" i="15"/>
  <c r="BD45" i="15"/>
  <c r="BD44" i="15"/>
  <c r="BD43" i="15"/>
  <c r="BD42" i="15"/>
  <c r="BD41" i="15"/>
  <c r="BD40" i="15"/>
  <c r="BD39" i="15"/>
  <c r="BD38" i="15"/>
  <c r="BD37" i="15"/>
  <c r="BD36" i="15"/>
  <c r="BD35" i="15"/>
  <c r="BD34" i="15"/>
  <c r="BD33" i="15"/>
  <c r="BD32" i="15"/>
  <c r="BD31" i="15"/>
  <c r="BD30" i="15"/>
  <c r="BD29" i="15"/>
  <c r="BD28" i="15"/>
  <c r="BD27" i="15"/>
  <c r="BD26" i="15"/>
  <c r="BD25" i="15"/>
  <c r="BD24" i="15"/>
  <c r="BD23" i="15"/>
  <c r="BD22" i="15"/>
  <c r="BD21" i="15"/>
  <c r="BD20" i="15"/>
  <c r="BD19" i="15"/>
  <c r="BD18" i="15"/>
  <c r="BD17" i="15"/>
  <c r="BD16" i="15"/>
  <c r="BD15" i="15"/>
  <c r="BD14" i="15"/>
  <c r="BD13" i="15"/>
  <c r="BD12" i="15"/>
  <c r="BD11" i="15"/>
  <c r="BD10" i="15"/>
  <c r="BD9" i="15"/>
  <c r="BD8" i="15"/>
  <c r="BD7" i="15"/>
  <c r="BD6" i="15"/>
  <c r="BD5" i="15"/>
  <c r="BD4" i="15"/>
  <c r="BD46" i="3"/>
  <c r="BD45" i="3"/>
  <c r="BD44" i="3"/>
  <c r="BD43" i="3"/>
  <c r="BD42" i="3"/>
  <c r="BD41" i="3"/>
  <c r="BD40" i="3"/>
  <c r="BD39" i="3"/>
  <c r="BD38" i="3"/>
  <c r="BD37" i="3"/>
  <c r="BD36" i="3"/>
  <c r="BD35" i="3"/>
  <c r="BD34" i="3"/>
  <c r="BD33" i="3"/>
  <c r="BD32" i="3"/>
  <c r="BD31" i="3"/>
  <c r="BD30" i="3"/>
  <c r="BD29" i="3"/>
  <c r="BD28" i="3"/>
  <c r="BD27" i="3"/>
  <c r="BD26" i="3"/>
  <c r="BD25" i="3"/>
  <c r="BD24" i="3"/>
  <c r="BD23" i="3"/>
  <c r="BD22" i="3"/>
  <c r="BD21" i="3"/>
  <c r="BD20" i="3"/>
  <c r="BD19" i="3"/>
  <c r="BD18" i="3"/>
  <c r="BD17" i="3"/>
  <c r="BD16" i="3"/>
  <c r="BD15" i="3"/>
  <c r="BD14" i="3"/>
  <c r="BD13" i="3"/>
  <c r="BD12" i="3"/>
  <c r="BD11" i="3"/>
  <c r="BD10" i="3"/>
  <c r="BD9" i="3"/>
  <c r="BD8" i="3"/>
  <c r="BD7" i="3"/>
  <c r="BD6" i="3"/>
  <c r="BD5" i="3"/>
  <c r="BD4" i="3"/>
  <c r="BH46" i="15"/>
  <c r="BH45" i="15"/>
  <c r="BH44" i="15"/>
  <c r="BH43" i="15"/>
  <c r="BH42" i="15"/>
  <c r="BH41" i="15"/>
  <c r="BH40" i="15"/>
  <c r="BH39" i="15"/>
  <c r="BH38" i="15"/>
  <c r="BH37" i="15"/>
  <c r="BH36" i="15"/>
  <c r="BH35" i="15"/>
  <c r="BH34" i="15"/>
  <c r="BH33" i="15"/>
  <c r="BH32" i="15"/>
  <c r="BH31" i="15"/>
  <c r="BH30" i="15"/>
  <c r="BH29" i="15"/>
  <c r="BH28" i="15"/>
  <c r="BH27" i="15"/>
  <c r="BH26" i="15"/>
  <c r="BH25" i="15"/>
  <c r="BH24" i="15"/>
  <c r="BH23" i="15"/>
  <c r="BH22" i="15"/>
  <c r="BH21" i="15"/>
  <c r="BH20" i="15"/>
  <c r="BH19" i="15"/>
  <c r="BH18" i="15"/>
  <c r="BH17" i="15"/>
  <c r="BH16" i="15"/>
  <c r="BH15" i="15"/>
  <c r="BH14" i="15"/>
  <c r="BH13" i="15"/>
  <c r="BH12" i="15"/>
  <c r="BH11" i="15"/>
  <c r="BH10" i="15"/>
  <c r="BH9" i="15"/>
  <c r="BH8" i="15"/>
  <c r="BH7" i="15"/>
  <c r="BH6" i="15"/>
  <c r="BH5" i="15"/>
  <c r="BH4" i="15"/>
  <c r="BH46" i="3"/>
  <c r="BH45" i="3"/>
  <c r="BH44" i="3"/>
  <c r="BH43" i="3"/>
  <c r="BH42" i="3"/>
  <c r="BH41" i="3"/>
  <c r="BH40" i="3"/>
  <c r="BH39" i="3"/>
  <c r="BH38" i="3"/>
  <c r="BH37" i="3"/>
  <c r="BH36" i="3"/>
  <c r="BH35" i="3"/>
  <c r="BH34" i="3"/>
  <c r="BH33" i="3"/>
  <c r="BH32" i="3"/>
  <c r="BH31" i="3"/>
  <c r="BH30" i="3"/>
  <c r="BH29" i="3"/>
  <c r="BH28" i="3"/>
  <c r="BH27" i="3"/>
  <c r="BH26" i="3"/>
  <c r="BH25" i="3"/>
  <c r="BH24" i="3"/>
  <c r="BH23" i="3"/>
  <c r="BH22" i="3"/>
  <c r="BH21" i="3"/>
  <c r="BH20" i="3"/>
  <c r="BH19" i="3"/>
  <c r="BH18" i="3"/>
  <c r="BH17" i="3"/>
  <c r="BH16" i="3"/>
  <c r="BH15" i="3"/>
  <c r="BH14" i="3"/>
  <c r="BH13" i="3"/>
  <c r="BH12" i="3"/>
  <c r="BH11" i="3"/>
  <c r="BH10" i="3"/>
  <c r="BH9" i="3"/>
  <c r="BH8" i="3"/>
  <c r="BH7" i="3"/>
  <c r="BH4" i="3"/>
  <c r="BH46" i="2"/>
  <c r="BH45" i="2"/>
  <c r="BH44" i="2"/>
  <c r="BH43" i="2"/>
  <c r="BH42" i="2"/>
  <c r="BH41" i="2"/>
  <c r="BH40" i="2"/>
  <c r="BH39" i="2"/>
  <c r="BH38" i="2"/>
  <c r="BH37" i="2"/>
  <c r="BH36" i="2"/>
  <c r="BH35" i="2"/>
  <c r="BH34" i="2"/>
  <c r="BH33" i="2"/>
  <c r="BH32" i="2"/>
  <c r="BH31" i="2"/>
  <c r="BH30" i="2"/>
  <c r="BH29" i="2"/>
  <c r="BH28" i="2"/>
  <c r="BH27" i="2"/>
  <c r="BH26" i="2"/>
  <c r="BH25" i="2"/>
  <c r="BH24" i="2"/>
  <c r="BH23" i="2"/>
  <c r="BH22" i="2"/>
  <c r="BH21" i="2"/>
  <c r="BH20" i="2"/>
  <c r="BH19" i="2"/>
  <c r="BH18" i="2"/>
  <c r="BH17" i="2"/>
  <c r="BH16" i="2"/>
  <c r="BH15" i="2"/>
  <c r="BH14" i="2"/>
  <c r="BH13" i="2"/>
  <c r="BH12" i="2"/>
  <c r="BH11" i="2"/>
  <c r="BH8" i="2"/>
  <c r="BH7" i="2"/>
  <c r="BH6" i="2"/>
  <c r="BH5" i="2"/>
  <c r="BH4" i="2"/>
  <c r="P38" i="4"/>
  <c r="P37" i="4"/>
  <c r="P36" i="4"/>
  <c r="P35" i="4"/>
  <c r="P34" i="4"/>
  <c r="P33" i="4"/>
  <c r="P32" i="4"/>
  <c r="P31" i="4"/>
  <c r="P30" i="4"/>
  <c r="P29" i="4"/>
  <c r="AN38" i="4"/>
  <c r="AN37" i="4"/>
  <c r="AN36" i="4"/>
  <c r="AN35" i="4"/>
  <c r="AN34" i="4"/>
  <c r="AN33" i="4"/>
  <c r="AN32" i="4"/>
  <c r="AN31" i="4"/>
  <c r="AN30" i="4"/>
  <c r="AN29" i="4"/>
  <c r="BL38" i="4"/>
  <c r="BL37" i="4"/>
  <c r="BL36" i="4"/>
  <c r="BL35" i="4"/>
  <c r="BL34" i="4"/>
  <c r="BL33" i="4"/>
  <c r="BL32" i="4"/>
  <c r="BL31" i="4"/>
  <c r="BL30" i="4"/>
  <c r="BL29" i="4"/>
  <c r="CJ38" i="4"/>
  <c r="CJ37" i="4"/>
  <c r="CJ36" i="4"/>
  <c r="CJ35" i="4"/>
  <c r="CJ34" i="4"/>
  <c r="CJ33" i="4"/>
  <c r="CJ32" i="4"/>
  <c r="CJ31" i="4"/>
  <c r="CJ30" i="4"/>
  <c r="CJ29" i="4"/>
  <c r="DH38" i="4"/>
  <c r="DH37" i="4"/>
  <c r="DH36" i="4"/>
  <c r="DH35" i="4"/>
  <c r="DH34" i="4"/>
  <c r="DH33" i="4"/>
  <c r="DH32" i="4"/>
  <c r="DH31" i="4"/>
  <c r="DH30" i="4"/>
  <c r="DH29" i="4"/>
  <c r="EE40" i="4"/>
  <c r="BO14" i="15" l="1"/>
  <c r="BO16" i="15" s="1"/>
  <c r="BO17" i="15" s="1"/>
  <c r="G412" i="10"/>
  <c r="G408" i="10"/>
  <c r="BO14" i="3"/>
  <c r="BO16" i="3" s="1"/>
  <c r="BO17" i="3" s="1"/>
  <c r="U39" i="15"/>
  <c r="BS13" i="15"/>
  <c r="U42" i="15"/>
  <c r="L34" i="9"/>
  <c r="L112" i="9"/>
  <c r="L54" i="9"/>
  <c r="L111" i="9"/>
  <c r="L87" i="9"/>
  <c r="L109" i="9"/>
  <c r="L23" i="9"/>
  <c r="M23" i="9"/>
  <c r="N23" i="9"/>
  <c r="O23" i="9"/>
  <c r="P23" i="9"/>
  <c r="Q23" i="9"/>
  <c r="L35" i="9"/>
  <c r="M35" i="9"/>
  <c r="N35" i="9"/>
  <c r="O35" i="9"/>
  <c r="P35" i="9"/>
  <c r="Q35" i="9"/>
  <c r="L38" i="9"/>
  <c r="M38" i="9"/>
  <c r="N38" i="9"/>
  <c r="O38" i="9"/>
  <c r="P38" i="9"/>
  <c r="Q38" i="9"/>
  <c r="L39" i="9"/>
  <c r="M39" i="9"/>
  <c r="N39" i="9"/>
  <c r="O39" i="9"/>
  <c r="P39" i="9"/>
  <c r="Q39" i="9"/>
  <c r="L49" i="9"/>
  <c r="M49" i="9"/>
  <c r="N49" i="9"/>
  <c r="O49" i="9"/>
  <c r="P49" i="9"/>
  <c r="Q49" i="9"/>
  <c r="L50" i="9"/>
  <c r="M50" i="9"/>
  <c r="N50" i="9"/>
  <c r="O50" i="9"/>
  <c r="P50" i="9"/>
  <c r="Q50" i="9"/>
  <c r="L74" i="9"/>
  <c r="M74" i="9"/>
  <c r="N74" i="9"/>
  <c r="O74" i="9"/>
  <c r="P74" i="9"/>
  <c r="Q74" i="9"/>
  <c r="L77" i="9"/>
  <c r="M77" i="9"/>
  <c r="N77" i="9"/>
  <c r="O77" i="9"/>
  <c r="P77" i="9"/>
  <c r="Q77" i="9"/>
  <c r="L96" i="9"/>
  <c r="M96" i="9"/>
  <c r="N96" i="9"/>
  <c r="O96" i="9"/>
  <c r="P96" i="9"/>
  <c r="Q96" i="9"/>
  <c r="L101" i="9"/>
  <c r="M101" i="9"/>
  <c r="N101" i="9"/>
  <c r="O101" i="9"/>
  <c r="P101" i="9"/>
  <c r="Q101" i="9"/>
  <c r="L119" i="9"/>
  <c r="M119" i="9"/>
  <c r="N119" i="9"/>
  <c r="O119" i="9"/>
  <c r="P119" i="9"/>
  <c r="Q119" i="9"/>
  <c r="L121" i="9"/>
  <c r="M121" i="9"/>
  <c r="N121" i="9"/>
  <c r="O121" i="9"/>
  <c r="P121" i="9"/>
  <c r="Q121" i="9"/>
  <c r="L3" i="9"/>
  <c r="M3" i="9"/>
  <c r="N3" i="9"/>
  <c r="O3" i="9"/>
  <c r="P3" i="9"/>
  <c r="Q3" i="9"/>
  <c r="L19" i="9"/>
  <c r="M19" i="9"/>
  <c r="N19" i="9"/>
  <c r="O19" i="9"/>
  <c r="P19" i="9"/>
  <c r="Q19" i="9"/>
  <c r="L36" i="9"/>
  <c r="M36" i="9"/>
  <c r="N36" i="9"/>
  <c r="O36" i="9"/>
  <c r="P36" i="9"/>
  <c r="Q36" i="9"/>
  <c r="L52" i="9"/>
  <c r="M52" i="9"/>
  <c r="N52" i="9"/>
  <c r="O52" i="9"/>
  <c r="P52" i="9"/>
  <c r="Q52" i="9"/>
  <c r="L60" i="9"/>
  <c r="M60" i="9"/>
  <c r="N60" i="9"/>
  <c r="O60" i="9"/>
  <c r="P60" i="9"/>
  <c r="Q60" i="9"/>
  <c r="L62" i="9"/>
  <c r="M62" i="9"/>
  <c r="N62" i="9"/>
  <c r="O62" i="9"/>
  <c r="P62" i="9"/>
  <c r="Q62" i="9"/>
  <c r="L82" i="9"/>
  <c r="M82" i="9"/>
  <c r="N82" i="9"/>
  <c r="O82" i="9"/>
  <c r="P82" i="9"/>
  <c r="Q82" i="9"/>
  <c r="L93" i="9"/>
  <c r="M93" i="9"/>
  <c r="N93" i="9"/>
  <c r="O93" i="9"/>
  <c r="P93" i="9"/>
  <c r="Q93" i="9"/>
  <c r="L97" i="9"/>
  <c r="M97" i="9"/>
  <c r="N97" i="9"/>
  <c r="O97" i="9"/>
  <c r="P97" i="9"/>
  <c r="Q97" i="9"/>
  <c r="L102" i="9"/>
  <c r="M102" i="9"/>
  <c r="N102" i="9"/>
  <c r="O102" i="9"/>
  <c r="P102" i="9"/>
  <c r="Q102" i="9"/>
  <c r="L117" i="9"/>
  <c r="M117" i="9"/>
  <c r="N117" i="9"/>
  <c r="O117" i="9"/>
  <c r="P117" i="9"/>
  <c r="Q117" i="9"/>
  <c r="L120" i="9"/>
  <c r="M120" i="9"/>
  <c r="N120" i="9"/>
  <c r="O120" i="9"/>
  <c r="P120" i="9"/>
  <c r="Q120" i="9"/>
  <c r="L22" i="9"/>
  <c r="M22" i="9"/>
  <c r="N22" i="9"/>
  <c r="O22" i="9"/>
  <c r="P22" i="9"/>
  <c r="Q22" i="9"/>
  <c r="L88" i="9"/>
  <c r="M88" i="9"/>
  <c r="N88" i="9"/>
  <c r="O88" i="9"/>
  <c r="P88" i="9"/>
  <c r="Q88" i="9"/>
  <c r="L46" i="9"/>
  <c r="L41" i="9"/>
  <c r="L13" i="9"/>
  <c r="L53" i="9"/>
  <c r="L2" i="9"/>
  <c r="M2" i="9"/>
  <c r="N2" i="9"/>
  <c r="O2" i="9"/>
  <c r="P2" i="9"/>
  <c r="Q2" i="9"/>
  <c r="L21" i="9"/>
  <c r="M21" i="9"/>
  <c r="N21" i="9"/>
  <c r="O21" i="9"/>
  <c r="P21" i="9"/>
  <c r="Q21" i="9"/>
  <c r="L25" i="9"/>
  <c r="M25" i="9"/>
  <c r="N25" i="9"/>
  <c r="O25" i="9"/>
  <c r="P25" i="9"/>
  <c r="Q25" i="9"/>
  <c r="L27" i="9"/>
  <c r="M27" i="9"/>
  <c r="N27" i="9"/>
  <c r="O27" i="9"/>
  <c r="P27" i="9"/>
  <c r="Q27" i="9"/>
  <c r="L29" i="9"/>
  <c r="M29" i="9"/>
  <c r="N29" i="9"/>
  <c r="O29" i="9"/>
  <c r="P29" i="9"/>
  <c r="Q29" i="9"/>
  <c r="L65" i="9"/>
  <c r="M65" i="9"/>
  <c r="N65" i="9"/>
  <c r="O65" i="9"/>
  <c r="P65" i="9"/>
  <c r="Q65" i="9"/>
  <c r="L68" i="9"/>
  <c r="M68" i="9"/>
  <c r="N68" i="9"/>
  <c r="O68" i="9"/>
  <c r="P68" i="9"/>
  <c r="Q68" i="9"/>
  <c r="L73" i="9"/>
  <c r="M73" i="9"/>
  <c r="N73" i="9"/>
  <c r="O73" i="9"/>
  <c r="P73" i="9"/>
  <c r="Q73" i="9"/>
  <c r="L76" i="9"/>
  <c r="M76" i="9"/>
  <c r="N76" i="9"/>
  <c r="O76" i="9"/>
  <c r="P76" i="9"/>
  <c r="Q76" i="9"/>
  <c r="L79" i="9"/>
  <c r="M79" i="9"/>
  <c r="N79" i="9"/>
  <c r="O79" i="9"/>
  <c r="P79" i="9"/>
  <c r="Q79" i="9"/>
  <c r="L5" i="9"/>
  <c r="M5" i="9"/>
  <c r="N5" i="9"/>
  <c r="O5" i="9"/>
  <c r="P5" i="9"/>
  <c r="Q5" i="9"/>
  <c r="L9" i="9"/>
  <c r="M9" i="9"/>
  <c r="N9" i="9"/>
  <c r="O9" i="9"/>
  <c r="P9" i="9"/>
  <c r="Q9" i="9"/>
  <c r="L42" i="9"/>
  <c r="M42" i="9"/>
  <c r="N42" i="9"/>
  <c r="O42" i="9"/>
  <c r="P42" i="9"/>
  <c r="Q42" i="9"/>
  <c r="L67" i="9"/>
  <c r="M67" i="9"/>
  <c r="N67" i="9"/>
  <c r="O67" i="9"/>
  <c r="P67" i="9"/>
  <c r="Q67" i="9"/>
  <c r="L72" i="9"/>
  <c r="M72" i="9"/>
  <c r="N72" i="9"/>
  <c r="O72" i="9"/>
  <c r="P72" i="9"/>
  <c r="Q72" i="9"/>
  <c r="L100" i="9"/>
  <c r="M100" i="9"/>
  <c r="N100" i="9"/>
  <c r="O100" i="9"/>
  <c r="P100" i="9"/>
  <c r="Q100" i="9"/>
  <c r="L108" i="9"/>
  <c r="M108" i="9"/>
  <c r="N108" i="9"/>
  <c r="O108" i="9"/>
  <c r="P108" i="9"/>
  <c r="Q108" i="9"/>
  <c r="L114" i="9"/>
  <c r="M114" i="9"/>
  <c r="N114" i="9"/>
  <c r="O114" i="9"/>
  <c r="P114" i="9"/>
  <c r="Q114" i="9"/>
  <c r="L115" i="9"/>
  <c r="M115" i="9"/>
  <c r="N115" i="9"/>
  <c r="O115" i="9"/>
  <c r="P115" i="9"/>
  <c r="Q115" i="9"/>
  <c r="L122" i="9"/>
  <c r="M122" i="9"/>
  <c r="N122" i="9"/>
  <c r="O122" i="9"/>
  <c r="P122" i="9"/>
  <c r="Q122" i="9"/>
  <c r="L18" i="9"/>
  <c r="L92" i="9"/>
  <c r="L61" i="9"/>
  <c r="L75" i="9"/>
  <c r="M75" i="9"/>
  <c r="N75" i="9"/>
  <c r="O75" i="9"/>
  <c r="P75" i="9"/>
  <c r="Q75" i="9"/>
  <c r="L70" i="9"/>
  <c r="M70" i="9"/>
  <c r="N70" i="9"/>
  <c r="O70" i="9"/>
  <c r="P70" i="9"/>
  <c r="Q70" i="9"/>
  <c r="L15" i="9"/>
  <c r="L32" i="9"/>
  <c r="L33" i="9"/>
  <c r="M18" i="9"/>
  <c r="N18" i="9"/>
  <c r="O18" i="9"/>
  <c r="P18" i="9"/>
  <c r="Q18" i="9"/>
  <c r="L20" i="9"/>
  <c r="M20" i="9"/>
  <c r="N20" i="9"/>
  <c r="O20" i="9"/>
  <c r="P20" i="9"/>
  <c r="Q20" i="9"/>
  <c r="Q91" i="9"/>
  <c r="P91" i="9"/>
  <c r="O91" i="9"/>
  <c r="N91" i="9"/>
  <c r="M91" i="9"/>
  <c r="L91" i="9"/>
  <c r="Q105" i="9"/>
  <c r="P105" i="9"/>
  <c r="O105" i="9"/>
  <c r="N105" i="9"/>
  <c r="M105" i="9"/>
  <c r="L105" i="9"/>
  <c r="Q14" i="9"/>
  <c r="P14" i="9"/>
  <c r="O14" i="9"/>
  <c r="N14" i="9"/>
  <c r="M14" i="9"/>
  <c r="L14" i="9"/>
  <c r="Q69" i="9"/>
  <c r="P69" i="9"/>
  <c r="O69" i="9"/>
  <c r="N69" i="9"/>
  <c r="M69" i="9"/>
  <c r="L69" i="9"/>
  <c r="Q66" i="9"/>
  <c r="P66" i="9"/>
  <c r="O66" i="9"/>
  <c r="N66" i="9"/>
  <c r="M66" i="9"/>
  <c r="L66" i="9"/>
  <c r="Q28" i="9"/>
  <c r="P28" i="9"/>
  <c r="O28" i="9"/>
  <c r="N28" i="9"/>
  <c r="M28" i="9"/>
  <c r="L28" i="9"/>
  <c r="Q90" i="9"/>
  <c r="P90" i="9"/>
  <c r="O90" i="9"/>
  <c r="N90" i="9"/>
  <c r="M90" i="9"/>
  <c r="L90" i="9"/>
  <c r="Q56" i="9"/>
  <c r="P56" i="9"/>
  <c r="O56" i="9"/>
  <c r="N56" i="9"/>
  <c r="M56" i="9"/>
  <c r="L56" i="9"/>
  <c r="Q61" i="9"/>
  <c r="P61" i="9"/>
  <c r="O61" i="9"/>
  <c r="N61" i="9"/>
  <c r="M61" i="9"/>
  <c r="Q113" i="9"/>
  <c r="P113" i="9"/>
  <c r="O113" i="9"/>
  <c r="N113" i="9"/>
  <c r="M113" i="9"/>
  <c r="L113" i="9"/>
  <c r="Q92" i="9"/>
  <c r="P92" i="9"/>
  <c r="O92" i="9"/>
  <c r="N92" i="9"/>
  <c r="M92" i="9"/>
  <c r="Q84" i="9"/>
  <c r="P84" i="9"/>
  <c r="O84" i="9"/>
  <c r="N84" i="9"/>
  <c r="M84" i="9"/>
  <c r="L84" i="9"/>
  <c r="Q83" i="9"/>
  <c r="P83" i="9"/>
  <c r="O83" i="9"/>
  <c r="N83" i="9"/>
  <c r="M83" i="9"/>
  <c r="L83" i="9"/>
  <c r="Q58" i="9"/>
  <c r="P58" i="9"/>
  <c r="O58" i="9"/>
  <c r="N58" i="9"/>
  <c r="M58" i="9"/>
  <c r="L58" i="9"/>
  <c r="Q57" i="9"/>
  <c r="P57" i="9"/>
  <c r="O57" i="9"/>
  <c r="N57" i="9"/>
  <c r="M57" i="9"/>
  <c r="L57" i="9"/>
  <c r="Q24" i="9"/>
  <c r="P24" i="9"/>
  <c r="O24" i="9"/>
  <c r="N24" i="9"/>
  <c r="M24" i="9"/>
  <c r="L24" i="9"/>
  <c r="Q107" i="9"/>
  <c r="P107" i="9"/>
  <c r="O107" i="9"/>
  <c r="N107" i="9"/>
  <c r="M107" i="9"/>
  <c r="L107" i="9"/>
  <c r="Q99" i="9"/>
  <c r="P99" i="9"/>
  <c r="O99" i="9"/>
  <c r="N99" i="9"/>
  <c r="M99" i="9"/>
  <c r="L99" i="9"/>
  <c r="Q94" i="9"/>
  <c r="P94" i="9"/>
  <c r="O94" i="9"/>
  <c r="N94" i="9"/>
  <c r="M94" i="9"/>
  <c r="L94" i="9"/>
  <c r="Q86" i="9"/>
  <c r="P86" i="9"/>
  <c r="O86" i="9"/>
  <c r="N86" i="9"/>
  <c r="M86" i="9"/>
  <c r="L86" i="9"/>
  <c r="Q81" i="9"/>
  <c r="P81" i="9"/>
  <c r="O81" i="9"/>
  <c r="N81" i="9"/>
  <c r="M81" i="9"/>
  <c r="L81" i="9"/>
  <c r="Q53" i="9"/>
  <c r="P53" i="9"/>
  <c r="O53" i="9"/>
  <c r="N53" i="9"/>
  <c r="M53" i="9"/>
  <c r="Q48" i="9"/>
  <c r="P48" i="9"/>
  <c r="O48" i="9"/>
  <c r="N48" i="9"/>
  <c r="M48" i="9"/>
  <c r="L48" i="9"/>
  <c r="Q37" i="9"/>
  <c r="P37" i="9"/>
  <c r="O37" i="9"/>
  <c r="N37" i="9"/>
  <c r="M37" i="9"/>
  <c r="L37" i="9"/>
  <c r="Q17" i="9"/>
  <c r="P17" i="9"/>
  <c r="O17" i="9"/>
  <c r="N17" i="9"/>
  <c r="M17" i="9"/>
  <c r="L17" i="9"/>
  <c r="Q13" i="9"/>
  <c r="P13" i="9"/>
  <c r="O13" i="9"/>
  <c r="N13" i="9"/>
  <c r="M13" i="9"/>
  <c r="Q6" i="9"/>
  <c r="P6" i="9"/>
  <c r="O6" i="9"/>
  <c r="N6" i="9"/>
  <c r="M6" i="9"/>
  <c r="L6" i="9"/>
  <c r="Q95" i="9"/>
  <c r="P95" i="9"/>
  <c r="O95" i="9"/>
  <c r="N95" i="9"/>
  <c r="M95" i="9"/>
  <c r="L95" i="9"/>
  <c r="Q80" i="9"/>
  <c r="P80" i="9"/>
  <c r="O80" i="9"/>
  <c r="N80" i="9"/>
  <c r="M80" i="9"/>
  <c r="L80" i="9"/>
  <c r="Q63" i="9"/>
  <c r="P63" i="9"/>
  <c r="O63" i="9"/>
  <c r="N63" i="9"/>
  <c r="M63" i="9"/>
  <c r="L63" i="9"/>
  <c r="Q59" i="9"/>
  <c r="P59" i="9"/>
  <c r="O59" i="9"/>
  <c r="N59" i="9"/>
  <c r="M59" i="9"/>
  <c r="L59" i="9"/>
  <c r="Q31" i="9"/>
  <c r="P31" i="9"/>
  <c r="O31" i="9"/>
  <c r="N31" i="9"/>
  <c r="M31" i="9"/>
  <c r="L31" i="9"/>
  <c r="Q26" i="9"/>
  <c r="P26" i="9"/>
  <c r="O26" i="9"/>
  <c r="N26" i="9"/>
  <c r="M26" i="9"/>
  <c r="L26" i="9"/>
  <c r="Q16" i="9"/>
  <c r="P16" i="9"/>
  <c r="O16" i="9"/>
  <c r="N16" i="9"/>
  <c r="M16" i="9"/>
  <c r="L16" i="9"/>
  <c r="Q123" i="9"/>
  <c r="P123" i="9"/>
  <c r="O123" i="9"/>
  <c r="N123" i="9"/>
  <c r="M123" i="9"/>
  <c r="L123" i="9"/>
  <c r="Q85" i="9"/>
  <c r="P85" i="9"/>
  <c r="O85" i="9"/>
  <c r="N85" i="9"/>
  <c r="M85" i="9"/>
  <c r="L85" i="9"/>
  <c r="Q47" i="9"/>
  <c r="P47" i="9"/>
  <c r="O47" i="9"/>
  <c r="N47" i="9"/>
  <c r="M47" i="9"/>
  <c r="L47" i="9"/>
  <c r="Q46" i="9"/>
  <c r="P46" i="9"/>
  <c r="O46" i="9"/>
  <c r="N46" i="9"/>
  <c r="M46" i="9"/>
  <c r="Q45" i="9"/>
  <c r="P45" i="9"/>
  <c r="O45" i="9"/>
  <c r="N45" i="9"/>
  <c r="M45" i="9"/>
  <c r="L45" i="9"/>
  <c r="Q41" i="9"/>
  <c r="P41" i="9"/>
  <c r="O41" i="9"/>
  <c r="N41" i="9"/>
  <c r="M41" i="9"/>
  <c r="Q30" i="9"/>
  <c r="P30" i="9"/>
  <c r="O30" i="9"/>
  <c r="N30" i="9"/>
  <c r="M30" i="9"/>
  <c r="L30" i="9"/>
  <c r="Q12" i="9"/>
  <c r="P12" i="9"/>
  <c r="O12" i="9"/>
  <c r="N12" i="9"/>
  <c r="M12" i="9"/>
  <c r="L12" i="9"/>
  <c r="Q11" i="9"/>
  <c r="P11" i="9"/>
  <c r="O11" i="9"/>
  <c r="N11" i="9"/>
  <c r="M11" i="9"/>
  <c r="L11" i="9"/>
  <c r="Q10" i="9"/>
  <c r="P10" i="9"/>
  <c r="O10" i="9"/>
  <c r="N10" i="9"/>
  <c r="M10" i="9"/>
  <c r="L10" i="9"/>
  <c r="Q8" i="9"/>
  <c r="P8" i="9"/>
  <c r="O8" i="9"/>
  <c r="N8" i="9"/>
  <c r="M8" i="9"/>
  <c r="L8" i="9"/>
  <c r="Q7" i="9"/>
  <c r="P7" i="9"/>
  <c r="O7" i="9"/>
  <c r="N7" i="9"/>
  <c r="M7" i="9"/>
  <c r="L7" i="9"/>
  <c r="Q118" i="9"/>
  <c r="P118" i="9"/>
  <c r="O118" i="9"/>
  <c r="N118" i="9"/>
  <c r="M118" i="9"/>
  <c r="L118" i="9"/>
  <c r="Q110" i="9"/>
  <c r="P110" i="9"/>
  <c r="O110" i="9"/>
  <c r="N110" i="9"/>
  <c r="M110" i="9"/>
  <c r="L110" i="9"/>
  <c r="Q109" i="9"/>
  <c r="P109" i="9"/>
  <c r="O109" i="9"/>
  <c r="N109" i="9"/>
  <c r="M109" i="9"/>
  <c r="Q104" i="9"/>
  <c r="P104" i="9"/>
  <c r="O104" i="9"/>
  <c r="N104" i="9"/>
  <c r="M104" i="9"/>
  <c r="L104" i="9"/>
  <c r="Q87" i="9"/>
  <c r="P87" i="9"/>
  <c r="O87" i="9"/>
  <c r="N87" i="9"/>
  <c r="M87" i="9"/>
  <c r="Q71" i="9"/>
  <c r="P71" i="9"/>
  <c r="O71" i="9"/>
  <c r="N71" i="9"/>
  <c r="M71" i="9"/>
  <c r="L71" i="9"/>
  <c r="Q51" i="9"/>
  <c r="P51" i="9"/>
  <c r="O51" i="9"/>
  <c r="N51" i="9"/>
  <c r="M51" i="9"/>
  <c r="L51" i="9"/>
  <c r="Q111" i="9"/>
  <c r="P111" i="9"/>
  <c r="O111" i="9"/>
  <c r="N111" i="9"/>
  <c r="M111" i="9"/>
  <c r="Q103" i="9"/>
  <c r="P103" i="9"/>
  <c r="O103" i="9"/>
  <c r="N103" i="9"/>
  <c r="M103" i="9"/>
  <c r="L103" i="9"/>
  <c r="Q89" i="9"/>
  <c r="P89" i="9"/>
  <c r="O89" i="9"/>
  <c r="N89" i="9"/>
  <c r="M89" i="9"/>
  <c r="L89" i="9"/>
  <c r="Q55" i="9"/>
  <c r="P55" i="9"/>
  <c r="O55" i="9"/>
  <c r="N55" i="9"/>
  <c r="M55" i="9"/>
  <c r="L55" i="9"/>
  <c r="Q54" i="9"/>
  <c r="P54" i="9"/>
  <c r="O54" i="9"/>
  <c r="N54" i="9"/>
  <c r="M54" i="9"/>
  <c r="Q40" i="9"/>
  <c r="P40" i="9"/>
  <c r="O40" i="9"/>
  <c r="N40" i="9"/>
  <c r="M40" i="9"/>
  <c r="L40" i="9"/>
  <c r="Q4" i="9"/>
  <c r="P4" i="9"/>
  <c r="O4" i="9"/>
  <c r="N4" i="9"/>
  <c r="M4" i="9"/>
  <c r="L4" i="9"/>
  <c r="Q116" i="9"/>
  <c r="P116" i="9"/>
  <c r="O116" i="9"/>
  <c r="N116" i="9"/>
  <c r="M116" i="9"/>
  <c r="L116" i="9"/>
  <c r="Q112" i="9"/>
  <c r="P112" i="9"/>
  <c r="O112" i="9"/>
  <c r="N112" i="9"/>
  <c r="M112" i="9"/>
  <c r="Q106" i="9"/>
  <c r="P106" i="9"/>
  <c r="O106" i="9"/>
  <c r="N106" i="9"/>
  <c r="M106" i="9"/>
  <c r="L106" i="9"/>
  <c r="Q98" i="9"/>
  <c r="P98" i="9"/>
  <c r="O98" i="9"/>
  <c r="N98" i="9"/>
  <c r="M98" i="9"/>
  <c r="L98" i="9"/>
  <c r="Q78" i="9"/>
  <c r="P78" i="9"/>
  <c r="O78" i="9"/>
  <c r="N78" i="9"/>
  <c r="M78" i="9"/>
  <c r="L78" i="9"/>
  <c r="Q64" i="9"/>
  <c r="P64" i="9"/>
  <c r="O64" i="9"/>
  <c r="N64" i="9"/>
  <c r="M64" i="9"/>
  <c r="L64" i="9"/>
  <c r="Q44" i="9"/>
  <c r="P44" i="9"/>
  <c r="O44" i="9"/>
  <c r="N44" i="9"/>
  <c r="M44" i="9"/>
  <c r="L44" i="9"/>
  <c r="Q43" i="9"/>
  <c r="P43" i="9"/>
  <c r="O43" i="9"/>
  <c r="N43" i="9"/>
  <c r="M43" i="9"/>
  <c r="L43" i="9"/>
  <c r="Q34" i="9"/>
  <c r="P34" i="9"/>
  <c r="O34" i="9"/>
  <c r="N34" i="9"/>
  <c r="M34" i="9"/>
  <c r="Q33" i="9"/>
  <c r="P33" i="9"/>
  <c r="O33" i="9"/>
  <c r="N33" i="9"/>
  <c r="M33" i="9"/>
  <c r="Q32" i="9"/>
  <c r="P32" i="9"/>
  <c r="O32" i="9"/>
  <c r="N32" i="9"/>
  <c r="M32" i="9"/>
  <c r="Q15" i="9"/>
  <c r="P15" i="9"/>
  <c r="O15" i="9"/>
  <c r="N15" i="9"/>
  <c r="M15" i="9"/>
  <c r="T84" i="9" l="1"/>
  <c r="AJ58" i="9"/>
  <c r="Z83" i="9"/>
  <c r="Z113" i="9"/>
  <c r="S90" i="9"/>
  <c r="AI28" i="9"/>
  <c r="S14" i="9"/>
  <c r="AM105" i="9"/>
  <c r="AH61" i="9"/>
  <c r="V91" i="9"/>
  <c r="AA114" i="9"/>
  <c r="AI67" i="9"/>
  <c r="AH65" i="9"/>
  <c r="R21" i="9"/>
  <c r="AL17" i="9"/>
  <c r="Z53" i="9"/>
  <c r="AJ81" i="9"/>
  <c r="AJ99" i="9"/>
  <c r="Z107" i="9"/>
  <c r="AB88" i="9"/>
  <c r="AD99" i="9"/>
  <c r="AH90" i="9"/>
  <c r="V46" i="9"/>
  <c r="T16" i="9"/>
  <c r="V48" i="9"/>
  <c r="AH94" i="9"/>
  <c r="AH57" i="9"/>
  <c r="Z84" i="9"/>
  <c r="AL61" i="9"/>
  <c r="AK56" i="9"/>
  <c r="AK63" i="9"/>
  <c r="AJ24" i="9"/>
  <c r="AF17" i="9"/>
  <c r="AD58" i="9"/>
  <c r="AD30" i="9"/>
  <c r="AJ86" i="9"/>
  <c r="T53" i="9"/>
  <c r="AK113" i="9"/>
  <c r="AM14" i="9"/>
  <c r="W8" i="9"/>
  <c r="U71" i="9"/>
  <c r="AC8" i="9"/>
  <c r="AM10" i="9"/>
  <c r="AE11" i="9"/>
  <c r="AJ30" i="9"/>
  <c r="AD16" i="9"/>
  <c r="U63" i="9"/>
  <c r="AD17" i="9"/>
  <c r="X37" i="9"/>
  <c r="AJ53" i="9"/>
  <c r="AH81" i="9"/>
  <c r="Z99" i="9"/>
  <c r="V107" i="9"/>
  <c r="Z58" i="9"/>
  <c r="V83" i="9"/>
  <c r="AL92" i="9"/>
  <c r="AJ113" i="9"/>
  <c r="AD56" i="9"/>
  <c r="AE90" i="9"/>
  <c r="AM28" i="9"/>
  <c r="Z69" i="9"/>
  <c r="AL14" i="9"/>
  <c r="AJ20" i="9"/>
  <c r="T18" i="9"/>
  <c r="AK76" i="9"/>
  <c r="U29" i="9"/>
  <c r="AK13" i="9"/>
  <c r="AC13" i="9"/>
  <c r="U13" i="9"/>
  <c r="AJ13" i="9"/>
  <c r="AB13" i="9"/>
  <c r="T13" i="9"/>
  <c r="AI13" i="9"/>
  <c r="AA13" i="9"/>
  <c r="S13" i="9"/>
  <c r="AO13" i="9"/>
  <c r="AG13" i="9"/>
  <c r="Y13" i="9"/>
  <c r="AO92" i="9"/>
  <c r="AG92" i="9"/>
  <c r="Y92" i="9"/>
  <c r="AN92" i="9"/>
  <c r="AF92" i="9"/>
  <c r="X92" i="9"/>
  <c r="AK92" i="9"/>
  <c r="AA92" i="9"/>
  <c r="AJ92" i="9"/>
  <c r="Z92" i="9"/>
  <c r="AI92" i="9"/>
  <c r="W92" i="9"/>
  <c r="AE92" i="9"/>
  <c r="U92" i="9"/>
  <c r="AL66" i="9"/>
  <c r="Z66" i="9"/>
  <c r="AM69" i="9"/>
  <c r="AA69" i="9"/>
  <c r="AE91" i="9"/>
  <c r="S91" i="9"/>
  <c r="AI115" i="9"/>
  <c r="U30" i="9"/>
  <c r="T63" i="9"/>
  <c r="AD13" i="9"/>
  <c r="V17" i="9"/>
  <c r="AF37" i="9"/>
  <c r="AB48" i="9"/>
  <c r="V81" i="9"/>
  <c r="T86" i="9"/>
  <c r="R94" i="9"/>
  <c r="AL94" i="9"/>
  <c r="AH107" i="9"/>
  <c r="R67" i="9"/>
  <c r="Z18" i="9"/>
  <c r="V20" i="9"/>
  <c r="T24" i="9"/>
  <c r="R57" i="9"/>
  <c r="AL57" i="9"/>
  <c r="AH83" i="9"/>
  <c r="AD84" i="9"/>
  <c r="AB92" i="9"/>
  <c r="V61" i="9"/>
  <c r="T56" i="9"/>
  <c r="V28" i="9"/>
  <c r="AI66" i="9"/>
  <c r="AC105" i="9"/>
  <c r="T8" i="9"/>
  <c r="U46" i="9"/>
  <c r="AL63" i="9"/>
  <c r="AE94" i="9"/>
  <c r="AE57" i="9"/>
  <c r="AI56" i="9"/>
  <c r="AC69" i="9"/>
  <c r="AC30" i="9"/>
  <c r="AC63" i="9"/>
  <c r="AE13" i="9"/>
  <c r="W17" i="9"/>
  <c r="AM17" i="9"/>
  <c r="AH37" i="9"/>
  <c r="AC48" i="9"/>
  <c r="AA53" i="9"/>
  <c r="W81" i="9"/>
  <c r="U86" i="9"/>
  <c r="S94" i="9"/>
  <c r="AM94" i="9"/>
  <c r="AK99" i="9"/>
  <c r="AI107" i="9"/>
  <c r="R65" i="9"/>
  <c r="S67" i="9"/>
  <c r="AA18" i="9"/>
  <c r="W20" i="9"/>
  <c r="U24" i="9"/>
  <c r="S57" i="9"/>
  <c r="AM57" i="9"/>
  <c r="AK58" i="9"/>
  <c r="AI83" i="9"/>
  <c r="AE84" i="9"/>
  <c r="AC92" i="9"/>
  <c r="AA113" i="9"/>
  <c r="W61" i="9"/>
  <c r="U56" i="9"/>
  <c r="U90" i="9"/>
  <c r="AA28" i="9"/>
  <c r="AK66" i="9"/>
  <c r="Z14" i="9"/>
  <c r="AH105" i="9"/>
  <c r="AI48" i="9"/>
  <c r="AE18" i="9"/>
  <c r="AF13" i="9"/>
  <c r="X17" i="9"/>
  <c r="AN17" i="9"/>
  <c r="AI37" i="9"/>
  <c r="AD48" i="9"/>
  <c r="AB53" i="9"/>
  <c r="Z81" i="9"/>
  <c r="V86" i="9"/>
  <c r="T94" i="9"/>
  <c r="R99" i="9"/>
  <c r="AL99" i="9"/>
  <c r="AJ107" i="9"/>
  <c r="U65" i="9"/>
  <c r="T67" i="9"/>
  <c r="AB18" i="9"/>
  <c r="Z20" i="9"/>
  <c r="V24" i="9"/>
  <c r="T57" i="9"/>
  <c r="R58" i="9"/>
  <c r="AL58" i="9"/>
  <c r="AJ83" i="9"/>
  <c r="AH84" i="9"/>
  <c r="AD92" i="9"/>
  <c r="AB113" i="9"/>
  <c r="Z61" i="9"/>
  <c r="V56" i="9"/>
  <c r="V90" i="9"/>
  <c r="AH28" i="9"/>
  <c r="R69" i="9"/>
  <c r="AA14" i="9"/>
  <c r="AL86" i="9"/>
  <c r="AL24" i="9"/>
  <c r="AL84" i="9"/>
  <c r="AD61" i="9"/>
  <c r="AE66" i="9"/>
  <c r="AL91" i="9"/>
  <c r="AK2" i="9"/>
  <c r="R13" i="9"/>
  <c r="AH13" i="9"/>
  <c r="Z17" i="9"/>
  <c r="S37" i="9"/>
  <c r="AK37" i="9"/>
  <c r="AH48" i="9"/>
  <c r="AD53" i="9"/>
  <c r="AB81" i="9"/>
  <c r="Z86" i="9"/>
  <c r="V94" i="9"/>
  <c r="T99" i="9"/>
  <c r="R107" i="9"/>
  <c r="AL107" i="9"/>
  <c r="AD18" i="9"/>
  <c r="AB20" i="9"/>
  <c r="Z24" i="9"/>
  <c r="V57" i="9"/>
  <c r="T58" i="9"/>
  <c r="R83" i="9"/>
  <c r="AL83" i="9"/>
  <c r="AJ84" i="9"/>
  <c r="AH92" i="9"/>
  <c r="AD113" i="9"/>
  <c r="AB61" i="9"/>
  <c r="Z56" i="9"/>
  <c r="Z90" i="9"/>
  <c r="W69" i="9"/>
  <c r="AE14" i="9"/>
  <c r="R91" i="9"/>
  <c r="AB94" i="9"/>
  <c r="R92" i="9"/>
  <c r="AO105" i="9"/>
  <c r="AG105" i="9"/>
  <c r="Y105" i="9"/>
  <c r="AN105" i="9"/>
  <c r="AF105" i="9"/>
  <c r="X105" i="9"/>
  <c r="AJ105" i="9"/>
  <c r="AB105" i="9"/>
  <c r="T105" i="9"/>
  <c r="AL105" i="9"/>
  <c r="Z105" i="9"/>
  <c r="AK105" i="9"/>
  <c r="W105" i="9"/>
  <c r="AI105" i="9"/>
  <c r="V105" i="9"/>
  <c r="AE105" i="9"/>
  <c r="S105" i="9"/>
  <c r="AD105" i="9"/>
  <c r="R105" i="9"/>
  <c r="AO114" i="9"/>
  <c r="AI114" i="9"/>
  <c r="AH114" i="9"/>
  <c r="Z114" i="9"/>
  <c r="AO67" i="9"/>
  <c r="AH67" i="9"/>
  <c r="AC67" i="9"/>
  <c r="AK67" i="9"/>
  <c r="AJ67" i="9"/>
  <c r="U67" i="9"/>
  <c r="AO79" i="9"/>
  <c r="AI79" i="9"/>
  <c r="AH79" i="9"/>
  <c r="AK79" i="9"/>
  <c r="AJ79" i="9"/>
  <c r="AC79" i="9"/>
  <c r="T79" i="9"/>
  <c r="AO21" i="9"/>
  <c r="AH21" i="9"/>
  <c r="AC21" i="9"/>
  <c r="AK21" i="9"/>
  <c r="AJ21" i="9"/>
  <c r="U21" i="9"/>
  <c r="AO88" i="9"/>
  <c r="V88" i="9"/>
  <c r="AK88" i="9"/>
  <c r="AD88" i="9"/>
  <c r="W13" i="9"/>
  <c r="AM13" i="9"/>
  <c r="AE17" i="9"/>
  <c r="S48" i="9"/>
  <c r="AM48" i="9"/>
  <c r="AK53" i="9"/>
  <c r="AI81" i="9"/>
  <c r="AE86" i="9"/>
  <c r="AC94" i="9"/>
  <c r="AA99" i="9"/>
  <c r="W107" i="9"/>
  <c r="S21" i="9"/>
  <c r="R79" i="9"/>
  <c r="AB114" i="9"/>
  <c r="AK18" i="9"/>
  <c r="AI20" i="9"/>
  <c r="AE24" i="9"/>
  <c r="AC57" i="9"/>
  <c r="AA58" i="9"/>
  <c r="W83" i="9"/>
  <c r="U84" i="9"/>
  <c r="S92" i="9"/>
  <c r="AM92" i="9"/>
  <c r="AI61" i="9"/>
  <c r="AE56" i="9"/>
  <c r="V66" i="9"/>
  <c r="AD69" i="9"/>
  <c r="AC91" i="9"/>
  <c r="AO37" i="9"/>
  <c r="AG37" i="9"/>
  <c r="Y37" i="9"/>
  <c r="AN37" i="9"/>
  <c r="AE37" i="9"/>
  <c r="V37" i="9"/>
  <c r="AM37" i="9"/>
  <c r="AD37" i="9"/>
  <c r="U37" i="9"/>
  <c r="AL37" i="9"/>
  <c r="AC37" i="9"/>
  <c r="T37" i="9"/>
  <c r="AJ37" i="9"/>
  <c r="AA37" i="9"/>
  <c r="R37" i="9"/>
  <c r="V13" i="9"/>
  <c r="W37" i="9"/>
  <c r="AL48" i="9"/>
  <c r="AD24" i="9"/>
  <c r="AB57" i="9"/>
  <c r="AO28" i="9"/>
  <c r="AG28" i="9"/>
  <c r="Y28" i="9"/>
  <c r="AN28" i="9"/>
  <c r="AF28" i="9"/>
  <c r="X28" i="9"/>
  <c r="AJ28" i="9"/>
  <c r="AB28" i="9"/>
  <c r="T28" i="9"/>
  <c r="AE28" i="9"/>
  <c r="S28" i="9"/>
  <c r="AD28" i="9"/>
  <c r="R28" i="9"/>
  <c r="AC28" i="9"/>
  <c r="AL28" i="9"/>
  <c r="Z28" i="9"/>
  <c r="AK28" i="9"/>
  <c r="W28" i="9"/>
  <c r="AO65" i="9"/>
  <c r="T65" i="9"/>
  <c r="S65" i="9"/>
  <c r="AK65" i="9"/>
  <c r="AJ65" i="9"/>
  <c r="AI65" i="9"/>
  <c r="AC65" i="9"/>
  <c r="AO113" i="9"/>
  <c r="AG113" i="9"/>
  <c r="Y113" i="9"/>
  <c r="AN113" i="9"/>
  <c r="AF113" i="9"/>
  <c r="X113" i="9"/>
  <c r="AI113" i="9"/>
  <c r="W113" i="9"/>
  <c r="AH113" i="9"/>
  <c r="V113" i="9"/>
  <c r="AE113" i="9"/>
  <c r="U113" i="9"/>
  <c r="AM113" i="9"/>
  <c r="AC113" i="9"/>
  <c r="S113" i="9"/>
  <c r="AI90" i="9"/>
  <c r="AC14" i="9"/>
  <c r="AJ88" i="9"/>
  <c r="X13" i="9"/>
  <c r="AN13" i="9"/>
  <c r="Z37" i="9"/>
  <c r="T48" i="9"/>
  <c r="R53" i="9"/>
  <c r="AL53" i="9"/>
  <c r="AH86" i="9"/>
  <c r="AD94" i="9"/>
  <c r="AB99" i="9"/>
  <c r="T21" i="9"/>
  <c r="S79" i="9"/>
  <c r="R18" i="9"/>
  <c r="AL18" i="9"/>
  <c r="AH24" i="9"/>
  <c r="AD57" i="9"/>
  <c r="AB58" i="9"/>
  <c r="V84" i="9"/>
  <c r="T92" i="9"/>
  <c r="R113" i="9"/>
  <c r="AL113" i="9"/>
  <c r="AJ61" i="9"/>
  <c r="AH56" i="9"/>
  <c r="AL90" i="9"/>
  <c r="W66" i="9"/>
  <c r="AK69" i="9"/>
  <c r="U105" i="9"/>
  <c r="AD91" i="9"/>
  <c r="AO20" i="9"/>
  <c r="AG20" i="9"/>
  <c r="Y20" i="9"/>
  <c r="AN20" i="9"/>
  <c r="AF20" i="9"/>
  <c r="X20" i="9"/>
  <c r="AE20" i="9"/>
  <c r="U20" i="9"/>
  <c r="AD20" i="9"/>
  <c r="T20" i="9"/>
  <c r="AM20" i="9"/>
  <c r="AC20" i="9"/>
  <c r="S20" i="9"/>
  <c r="AK20" i="9"/>
  <c r="AA20" i="9"/>
  <c r="AK46" i="9"/>
  <c r="AL13" i="9"/>
  <c r="R48" i="9"/>
  <c r="AD86" i="9"/>
  <c r="AJ18" i="9"/>
  <c r="AH20" i="9"/>
  <c r="AO81" i="9"/>
  <c r="AG81" i="9"/>
  <c r="Y81" i="9"/>
  <c r="AN81" i="9"/>
  <c r="AF81" i="9"/>
  <c r="X81" i="9"/>
  <c r="AE81" i="9"/>
  <c r="U81" i="9"/>
  <c r="AD81" i="9"/>
  <c r="T81" i="9"/>
  <c r="AM81" i="9"/>
  <c r="AC81" i="9"/>
  <c r="S81" i="9"/>
  <c r="AK81" i="9"/>
  <c r="AA81" i="9"/>
  <c r="AO107" i="9"/>
  <c r="AG107" i="9"/>
  <c r="Y107" i="9"/>
  <c r="AN107" i="9"/>
  <c r="AF107" i="9"/>
  <c r="X107" i="9"/>
  <c r="AE107" i="9"/>
  <c r="U107" i="9"/>
  <c r="AD107" i="9"/>
  <c r="T107" i="9"/>
  <c r="AM107" i="9"/>
  <c r="AC107" i="9"/>
  <c r="S107" i="9"/>
  <c r="AK107" i="9"/>
  <c r="AA107" i="9"/>
  <c r="AO83" i="9"/>
  <c r="AG83" i="9"/>
  <c r="Y83" i="9"/>
  <c r="AN83" i="9"/>
  <c r="AF83" i="9"/>
  <c r="X83" i="9"/>
  <c r="AE83" i="9"/>
  <c r="U83" i="9"/>
  <c r="AD83" i="9"/>
  <c r="T83" i="9"/>
  <c r="AM83" i="9"/>
  <c r="AC83" i="9"/>
  <c r="S83" i="9"/>
  <c r="AK83" i="9"/>
  <c r="AA83" i="9"/>
  <c r="AO17" i="9"/>
  <c r="AK17" i="9"/>
  <c r="AC17" i="9"/>
  <c r="U17" i="9"/>
  <c r="AJ17" i="9"/>
  <c r="AB17" i="9"/>
  <c r="T17" i="9"/>
  <c r="AI17" i="9"/>
  <c r="AA17" i="9"/>
  <c r="S17" i="9"/>
  <c r="AG17" i="9"/>
  <c r="Y17" i="9"/>
  <c r="Z13" i="9"/>
  <c r="R17" i="9"/>
  <c r="AH17" i="9"/>
  <c r="AB37" i="9"/>
  <c r="R81" i="9"/>
  <c r="AL81" i="9"/>
  <c r="AB107" i="9"/>
  <c r="AI21" i="9"/>
  <c r="U79" i="9"/>
  <c r="R20" i="9"/>
  <c r="AL20" i="9"/>
  <c r="AB83" i="9"/>
  <c r="V92" i="9"/>
  <c r="T113" i="9"/>
  <c r="R61" i="9"/>
  <c r="U28" i="9"/>
  <c r="AC66" i="9"/>
  <c r="AL69" i="9"/>
  <c r="AA105" i="9"/>
  <c r="AI91" i="9"/>
  <c r="AO53" i="9"/>
  <c r="AG53" i="9"/>
  <c r="Y53" i="9"/>
  <c r="AN53" i="9"/>
  <c r="AF53" i="9"/>
  <c r="X53" i="9"/>
  <c r="AO99" i="9"/>
  <c r="AG99" i="9"/>
  <c r="Y99" i="9"/>
  <c r="AN99" i="9"/>
  <c r="AF99" i="9"/>
  <c r="X99" i="9"/>
  <c r="AO58" i="9"/>
  <c r="AG58" i="9"/>
  <c r="Y58" i="9"/>
  <c r="AN58" i="9"/>
  <c r="AF58" i="9"/>
  <c r="X58" i="9"/>
  <c r="AO90" i="9"/>
  <c r="AG90" i="9"/>
  <c r="Y90" i="9"/>
  <c r="AN90" i="9"/>
  <c r="AF90" i="9"/>
  <c r="X90" i="9"/>
  <c r="AJ90" i="9"/>
  <c r="AB90" i="9"/>
  <c r="T90" i="9"/>
  <c r="AO14" i="9"/>
  <c r="AG14" i="9"/>
  <c r="Y14" i="9"/>
  <c r="AN14" i="9"/>
  <c r="AF14" i="9"/>
  <c r="X14" i="9"/>
  <c r="AJ14" i="9"/>
  <c r="AB14" i="9"/>
  <c r="T14" i="9"/>
  <c r="AK68" i="9"/>
  <c r="U68" i="9"/>
  <c r="AH88" i="9"/>
  <c r="U48" i="9"/>
  <c r="AE48" i="9"/>
  <c r="S53" i="9"/>
  <c r="AC53" i="9"/>
  <c r="AM53" i="9"/>
  <c r="W86" i="9"/>
  <c r="AI86" i="9"/>
  <c r="U94" i="9"/>
  <c r="S99" i="9"/>
  <c r="AC99" i="9"/>
  <c r="AM99" i="9"/>
  <c r="S18" i="9"/>
  <c r="AC18" i="9"/>
  <c r="AM18" i="9"/>
  <c r="W24" i="9"/>
  <c r="AI24" i="9"/>
  <c r="U57" i="9"/>
  <c r="S58" i="9"/>
  <c r="AC58" i="9"/>
  <c r="AM58" i="9"/>
  <c r="W84" i="9"/>
  <c r="AI84" i="9"/>
  <c r="AA61" i="9"/>
  <c r="AK61" i="9"/>
  <c r="W56" i="9"/>
  <c r="W90" i="9"/>
  <c r="AK90" i="9"/>
  <c r="AA66" i="9"/>
  <c r="AM66" i="9"/>
  <c r="R14" i="9"/>
  <c r="AD14" i="9"/>
  <c r="U91" i="9"/>
  <c r="AH91" i="9"/>
  <c r="AL8" i="9"/>
  <c r="AB30" i="9"/>
  <c r="AL46" i="9"/>
  <c r="V16" i="9"/>
  <c r="AJ63" i="9"/>
  <c r="AO94" i="9"/>
  <c r="AG94" i="9"/>
  <c r="Y94" i="9"/>
  <c r="AN94" i="9"/>
  <c r="AF94" i="9"/>
  <c r="X94" i="9"/>
  <c r="AO57" i="9"/>
  <c r="AG57" i="9"/>
  <c r="Y57" i="9"/>
  <c r="AN57" i="9"/>
  <c r="AF57" i="9"/>
  <c r="X57" i="9"/>
  <c r="AO56" i="9"/>
  <c r="AG56" i="9"/>
  <c r="Y56" i="9"/>
  <c r="AN56" i="9"/>
  <c r="AF56" i="9"/>
  <c r="X56" i="9"/>
  <c r="AJ56" i="9"/>
  <c r="AO69" i="9"/>
  <c r="AG69" i="9"/>
  <c r="Y69" i="9"/>
  <c r="AN69" i="9"/>
  <c r="AF69" i="9"/>
  <c r="X69" i="9"/>
  <c r="AJ69" i="9"/>
  <c r="AB69" i="9"/>
  <c r="T69" i="9"/>
  <c r="AH122" i="9"/>
  <c r="Z100" i="9"/>
  <c r="Z9" i="9"/>
  <c r="Z73" i="9"/>
  <c r="Z27" i="9"/>
  <c r="AC88" i="9"/>
  <c r="AB8" i="9"/>
  <c r="AB46" i="9"/>
  <c r="AB16" i="9"/>
  <c r="W48" i="9"/>
  <c r="U53" i="9"/>
  <c r="AE53" i="9"/>
  <c r="AA86" i="9"/>
  <c r="AK86" i="9"/>
  <c r="W94" i="9"/>
  <c r="AI94" i="9"/>
  <c r="U99" i="9"/>
  <c r="AE99" i="9"/>
  <c r="U18" i="9"/>
  <c r="AA24" i="9"/>
  <c r="AK24" i="9"/>
  <c r="W57" i="9"/>
  <c r="AI57" i="9"/>
  <c r="U58" i="9"/>
  <c r="AE58" i="9"/>
  <c r="AA84" i="9"/>
  <c r="AK84" i="9"/>
  <c r="S61" i="9"/>
  <c r="AC61" i="9"/>
  <c r="AM61" i="9"/>
  <c r="AA56" i="9"/>
  <c r="AL56" i="9"/>
  <c r="AA90" i="9"/>
  <c r="AM90" i="9"/>
  <c r="R66" i="9"/>
  <c r="AD66" i="9"/>
  <c r="S69" i="9"/>
  <c r="AE69" i="9"/>
  <c r="U14" i="9"/>
  <c r="AH14" i="9"/>
  <c r="W91" i="9"/>
  <c r="AK91" i="9"/>
  <c r="U89" i="9"/>
  <c r="AO48" i="9"/>
  <c r="AG48" i="9"/>
  <c r="Y48" i="9"/>
  <c r="AN48" i="9"/>
  <c r="AF48" i="9"/>
  <c r="X48" i="9"/>
  <c r="AO18" i="9"/>
  <c r="AG18" i="9"/>
  <c r="Y18" i="9"/>
  <c r="AN18" i="9"/>
  <c r="AF18" i="9"/>
  <c r="X18" i="9"/>
  <c r="R117" i="9"/>
  <c r="AH93" i="9"/>
  <c r="S82" i="9"/>
  <c r="Z52" i="9"/>
  <c r="R36" i="9"/>
  <c r="AJ8" i="9"/>
  <c r="AJ46" i="9"/>
  <c r="AC16" i="9"/>
  <c r="Z48" i="9"/>
  <c r="AJ48" i="9"/>
  <c r="V53" i="9"/>
  <c r="AH53" i="9"/>
  <c r="R86" i="9"/>
  <c r="AB86" i="9"/>
  <c r="Z94" i="9"/>
  <c r="AJ94" i="9"/>
  <c r="V99" i="9"/>
  <c r="AH99" i="9"/>
  <c r="U2" i="9"/>
  <c r="V18" i="9"/>
  <c r="AH18" i="9"/>
  <c r="R24" i="9"/>
  <c r="AB24" i="9"/>
  <c r="Z57" i="9"/>
  <c r="AJ57" i="9"/>
  <c r="V58" i="9"/>
  <c r="AH58" i="9"/>
  <c r="R84" i="9"/>
  <c r="AB84" i="9"/>
  <c r="T61" i="9"/>
  <c r="R56" i="9"/>
  <c r="AB56" i="9"/>
  <c r="AM56" i="9"/>
  <c r="AC90" i="9"/>
  <c r="S66" i="9"/>
  <c r="U69" i="9"/>
  <c r="AH69" i="9"/>
  <c r="V14" i="9"/>
  <c r="AI14" i="9"/>
  <c r="Z91" i="9"/>
  <c r="AL7" i="9"/>
  <c r="T10" i="9"/>
  <c r="AB11" i="9"/>
  <c r="AC41" i="9"/>
  <c r="V45" i="9"/>
  <c r="U47" i="9"/>
  <c r="T85" i="9"/>
  <c r="AB123" i="9"/>
  <c r="V26" i="9"/>
  <c r="V31" i="9"/>
  <c r="AL59" i="9"/>
  <c r="AJ80" i="9"/>
  <c r="AD95" i="9"/>
  <c r="AK6" i="9"/>
  <c r="AO86" i="9"/>
  <c r="AG86" i="9"/>
  <c r="Y86" i="9"/>
  <c r="AN86" i="9"/>
  <c r="AF86" i="9"/>
  <c r="X86" i="9"/>
  <c r="AO24" i="9"/>
  <c r="AG24" i="9"/>
  <c r="Y24" i="9"/>
  <c r="AN24" i="9"/>
  <c r="AF24" i="9"/>
  <c r="X24" i="9"/>
  <c r="AO84" i="9"/>
  <c r="AG84" i="9"/>
  <c r="Y84" i="9"/>
  <c r="AN84" i="9"/>
  <c r="AF84" i="9"/>
  <c r="X84" i="9"/>
  <c r="AO61" i="9"/>
  <c r="AG61" i="9"/>
  <c r="Y61" i="9"/>
  <c r="AN61" i="9"/>
  <c r="AF61" i="9"/>
  <c r="X61" i="9"/>
  <c r="AO66" i="9"/>
  <c r="AG66" i="9"/>
  <c r="Y66" i="9"/>
  <c r="AN66" i="9"/>
  <c r="AF66" i="9"/>
  <c r="X66" i="9"/>
  <c r="AJ66" i="9"/>
  <c r="AB66" i="9"/>
  <c r="T66" i="9"/>
  <c r="AO91" i="9"/>
  <c r="AG91" i="9"/>
  <c r="Y91" i="9"/>
  <c r="AN91" i="9"/>
  <c r="AF91" i="9"/>
  <c r="X91" i="9"/>
  <c r="AJ91" i="9"/>
  <c r="AB91" i="9"/>
  <c r="T91" i="9"/>
  <c r="AC73" i="9"/>
  <c r="AK29" i="9"/>
  <c r="AO96" i="9"/>
  <c r="AO49" i="9"/>
  <c r="AO23" i="9"/>
  <c r="AM8" i="9"/>
  <c r="AL16" i="9"/>
  <c r="AA48" i="9"/>
  <c r="AK48" i="9"/>
  <c r="W53" i="9"/>
  <c r="AI53" i="9"/>
  <c r="S86" i="9"/>
  <c r="AC86" i="9"/>
  <c r="AM86" i="9"/>
  <c r="AA94" i="9"/>
  <c r="AK94" i="9"/>
  <c r="W99" i="9"/>
  <c r="AI99" i="9"/>
  <c r="AC27" i="9"/>
  <c r="W18" i="9"/>
  <c r="AI18" i="9"/>
  <c r="S24" i="9"/>
  <c r="AC24" i="9"/>
  <c r="AM24" i="9"/>
  <c r="AA57" i="9"/>
  <c r="AK57" i="9"/>
  <c r="W58" i="9"/>
  <c r="AI58" i="9"/>
  <c r="S84" i="9"/>
  <c r="AC84" i="9"/>
  <c r="AM84" i="9"/>
  <c r="U61" i="9"/>
  <c r="AE61" i="9"/>
  <c r="S56" i="9"/>
  <c r="AC56" i="9"/>
  <c r="R90" i="9"/>
  <c r="AD90" i="9"/>
  <c r="U66" i="9"/>
  <c r="AH66" i="9"/>
  <c r="V69" i="9"/>
  <c r="AI69" i="9"/>
  <c r="W14" i="9"/>
  <c r="AK14" i="9"/>
  <c r="AA91" i="9"/>
  <c r="AM91" i="9"/>
  <c r="AH115" i="9"/>
  <c r="AB115" i="9"/>
  <c r="AA115" i="9"/>
  <c r="Z115" i="9"/>
  <c r="T115" i="9"/>
  <c r="U100" i="9"/>
  <c r="T100" i="9"/>
  <c r="S100" i="9"/>
  <c r="R100" i="9"/>
  <c r="AC100" i="9"/>
  <c r="AJ100" i="9"/>
  <c r="AI100" i="9"/>
  <c r="AH100" i="9"/>
  <c r="AO42" i="9"/>
  <c r="AG42" i="9"/>
  <c r="Y42" i="9"/>
  <c r="AD42" i="9"/>
  <c r="AN42" i="9"/>
  <c r="AF42" i="9"/>
  <c r="X42" i="9"/>
  <c r="AL42" i="9"/>
  <c r="AM42" i="9"/>
  <c r="AE42" i="9"/>
  <c r="W42" i="9"/>
  <c r="V42" i="9"/>
  <c r="AJ42" i="9"/>
  <c r="T42" i="9"/>
  <c r="AI42" i="9"/>
  <c r="S42" i="9"/>
  <c r="AC42" i="9"/>
  <c r="Z42" i="9"/>
  <c r="U42" i="9"/>
  <c r="AH42" i="9"/>
  <c r="R42" i="9"/>
  <c r="AB42" i="9"/>
  <c r="AA42" i="9"/>
  <c r="AK42" i="9"/>
  <c r="AC5" i="9"/>
  <c r="AK5" i="9"/>
  <c r="AB5" i="9"/>
  <c r="AA5" i="9"/>
  <c r="Z5" i="9"/>
  <c r="U5" i="9"/>
  <c r="AO76" i="9"/>
  <c r="AG76" i="9"/>
  <c r="Y76" i="9"/>
  <c r="AL76" i="9"/>
  <c r="AN76" i="9"/>
  <c r="AF76" i="9"/>
  <c r="X76" i="9"/>
  <c r="AD76" i="9"/>
  <c r="AM76" i="9"/>
  <c r="AE76" i="9"/>
  <c r="W76" i="9"/>
  <c r="V76" i="9"/>
  <c r="AJ76" i="9"/>
  <c r="T76" i="9"/>
  <c r="AI76" i="9"/>
  <c r="S76" i="9"/>
  <c r="AC76" i="9"/>
  <c r="AH76" i="9"/>
  <c r="R76" i="9"/>
  <c r="AB76" i="9"/>
  <c r="AA76" i="9"/>
  <c r="Z76" i="9"/>
  <c r="AC68" i="9"/>
  <c r="AB68" i="9"/>
  <c r="AA68" i="9"/>
  <c r="Z68" i="9"/>
  <c r="AO29" i="9"/>
  <c r="AG29" i="9"/>
  <c r="Y29" i="9"/>
  <c r="AL29" i="9"/>
  <c r="AN29" i="9"/>
  <c r="AF29" i="9"/>
  <c r="X29" i="9"/>
  <c r="AD29" i="9"/>
  <c r="AM29" i="9"/>
  <c r="AE29" i="9"/>
  <c r="W29" i="9"/>
  <c r="V29" i="9"/>
  <c r="AJ29" i="9"/>
  <c r="T29" i="9"/>
  <c r="AI29" i="9"/>
  <c r="S29" i="9"/>
  <c r="AC29" i="9"/>
  <c r="AB29" i="9"/>
  <c r="AH29" i="9"/>
  <c r="R29" i="9"/>
  <c r="AA29" i="9"/>
  <c r="Z29" i="9"/>
  <c r="AC25" i="9"/>
  <c r="AB25" i="9"/>
  <c r="AA25" i="9"/>
  <c r="Z25" i="9"/>
  <c r="AO2" i="9"/>
  <c r="AG2" i="9"/>
  <c r="Y2" i="9"/>
  <c r="AD2" i="9"/>
  <c r="AN2" i="9"/>
  <c r="AF2" i="9"/>
  <c r="X2" i="9"/>
  <c r="V2" i="9"/>
  <c r="AM2" i="9"/>
  <c r="AE2" i="9"/>
  <c r="W2" i="9"/>
  <c r="AL2" i="9"/>
  <c r="AJ2" i="9"/>
  <c r="T2" i="9"/>
  <c r="AI2" i="9"/>
  <c r="S2" i="9"/>
  <c r="AB2" i="9"/>
  <c r="AA2" i="9"/>
  <c r="AH2" i="9"/>
  <c r="R2" i="9"/>
  <c r="AC2" i="9"/>
  <c r="Z2" i="9"/>
  <c r="U25" i="9"/>
  <c r="T122" i="9"/>
  <c r="S122" i="9"/>
  <c r="AB122" i="9"/>
  <c r="AA122" i="9"/>
  <c r="Z122" i="9"/>
  <c r="AO108" i="9"/>
  <c r="AG108" i="9"/>
  <c r="Y108" i="9"/>
  <c r="AD108" i="9"/>
  <c r="AC108" i="9"/>
  <c r="AN108" i="9"/>
  <c r="AF108" i="9"/>
  <c r="X108" i="9"/>
  <c r="AL108" i="9"/>
  <c r="AM108" i="9"/>
  <c r="AE108" i="9"/>
  <c r="W108" i="9"/>
  <c r="V108" i="9"/>
  <c r="AK108" i="9"/>
  <c r="U108" i="9"/>
  <c r="Z108" i="9"/>
  <c r="T108" i="9"/>
  <c r="AB108" i="9"/>
  <c r="AA108" i="9"/>
  <c r="S108" i="9"/>
  <c r="AJ108" i="9"/>
  <c r="R108" i="9"/>
  <c r="AI108" i="9"/>
  <c r="AH108" i="9"/>
  <c r="Z72" i="9"/>
  <c r="U72" i="9"/>
  <c r="AC72" i="9"/>
  <c r="AB72" i="9"/>
  <c r="AA72" i="9"/>
  <c r="AK72" i="9"/>
  <c r="AK9" i="9"/>
  <c r="AH9" i="9"/>
  <c r="R9" i="9"/>
  <c r="U9" i="9"/>
  <c r="AJ9" i="9"/>
  <c r="T9" i="9"/>
  <c r="AI9" i="9"/>
  <c r="S9" i="9"/>
  <c r="AC9" i="9"/>
  <c r="AK73" i="9"/>
  <c r="U73" i="9"/>
  <c r="AJ73" i="9"/>
  <c r="T73" i="9"/>
  <c r="AI73" i="9"/>
  <c r="S73" i="9"/>
  <c r="AH73" i="9"/>
  <c r="R73" i="9"/>
  <c r="AK27" i="9"/>
  <c r="U27" i="9"/>
  <c r="AJ27" i="9"/>
  <c r="T27" i="9"/>
  <c r="AI27" i="9"/>
  <c r="S27" i="9"/>
  <c r="AH27" i="9"/>
  <c r="R27" i="9"/>
  <c r="AK25" i="9"/>
  <c r="U76" i="9"/>
  <c r="AO72" i="9"/>
  <c r="AO25" i="9"/>
  <c r="AL114" i="9"/>
  <c r="AC114" i="9"/>
  <c r="AD114" i="9"/>
  <c r="U114" i="9"/>
  <c r="V114" i="9"/>
  <c r="AK114" i="9"/>
  <c r="AL72" i="9"/>
  <c r="AD72" i="9"/>
  <c r="V72" i="9"/>
  <c r="AL67" i="9"/>
  <c r="AD67" i="9"/>
  <c r="V67" i="9"/>
  <c r="AD5" i="9"/>
  <c r="AL5" i="9"/>
  <c r="V5" i="9"/>
  <c r="AD79" i="9"/>
  <c r="AL79" i="9"/>
  <c r="V79" i="9"/>
  <c r="AL68" i="9"/>
  <c r="AD68" i="9"/>
  <c r="V68" i="9"/>
  <c r="AL65" i="9"/>
  <c r="AD65" i="9"/>
  <c r="V65" i="9"/>
  <c r="V25" i="9"/>
  <c r="AD25" i="9"/>
  <c r="AL25" i="9"/>
  <c r="V21" i="9"/>
  <c r="AD21" i="9"/>
  <c r="AL21" i="9"/>
  <c r="Z21" i="9"/>
  <c r="R25" i="9"/>
  <c r="AH25" i="9"/>
  <c r="Z65" i="9"/>
  <c r="R68" i="9"/>
  <c r="AH68" i="9"/>
  <c r="Z79" i="9"/>
  <c r="R5" i="9"/>
  <c r="AH5" i="9"/>
  <c r="Z67" i="9"/>
  <c r="R72" i="9"/>
  <c r="AH72" i="9"/>
  <c r="R114" i="9"/>
  <c r="AJ114" i="9"/>
  <c r="AO68" i="9"/>
  <c r="AL115" i="9"/>
  <c r="U115" i="9"/>
  <c r="V115" i="9"/>
  <c r="AC115" i="9"/>
  <c r="AD115" i="9"/>
  <c r="AK115" i="9"/>
  <c r="AO122" i="9"/>
  <c r="AG122" i="9"/>
  <c r="Y122" i="9"/>
  <c r="AD122" i="9"/>
  <c r="U122" i="9"/>
  <c r="AN122" i="9"/>
  <c r="AF122" i="9"/>
  <c r="X122" i="9"/>
  <c r="V122" i="9"/>
  <c r="AK122" i="9"/>
  <c r="AM122" i="9"/>
  <c r="AE122" i="9"/>
  <c r="W122" i="9"/>
  <c r="AL122" i="9"/>
  <c r="AC122" i="9"/>
  <c r="AO100" i="9"/>
  <c r="AG100" i="9"/>
  <c r="Y100" i="9"/>
  <c r="AL100" i="9"/>
  <c r="AN100" i="9"/>
  <c r="AF100" i="9"/>
  <c r="X100" i="9"/>
  <c r="AD100" i="9"/>
  <c r="AK100" i="9"/>
  <c r="AM100" i="9"/>
  <c r="AE100" i="9"/>
  <c r="W100" i="9"/>
  <c r="V100" i="9"/>
  <c r="AO9" i="9"/>
  <c r="AG9" i="9"/>
  <c r="Y9" i="9"/>
  <c r="AD9" i="9"/>
  <c r="AN9" i="9"/>
  <c r="AF9" i="9"/>
  <c r="X9" i="9"/>
  <c r="AL9" i="9"/>
  <c r="AM9" i="9"/>
  <c r="AE9" i="9"/>
  <c r="W9" i="9"/>
  <c r="V9" i="9"/>
  <c r="AO73" i="9"/>
  <c r="AG73" i="9"/>
  <c r="Y73" i="9"/>
  <c r="AL73" i="9"/>
  <c r="AN73" i="9"/>
  <c r="AF73" i="9"/>
  <c r="X73" i="9"/>
  <c r="AD73" i="9"/>
  <c r="AM73" i="9"/>
  <c r="AE73" i="9"/>
  <c r="W73" i="9"/>
  <c r="V73" i="9"/>
  <c r="AO27" i="9"/>
  <c r="AG27" i="9"/>
  <c r="Y27" i="9"/>
  <c r="AL27" i="9"/>
  <c r="V27" i="9"/>
  <c r="AN27" i="9"/>
  <c r="AF27" i="9"/>
  <c r="X27" i="9"/>
  <c r="AD27" i="9"/>
  <c r="AM27" i="9"/>
  <c r="AE27" i="9"/>
  <c r="W27" i="9"/>
  <c r="AA21" i="9"/>
  <c r="S25" i="9"/>
  <c r="AI25" i="9"/>
  <c r="AA27" i="9"/>
  <c r="AA65" i="9"/>
  <c r="S68" i="9"/>
  <c r="AI68" i="9"/>
  <c r="AA73" i="9"/>
  <c r="AA79" i="9"/>
  <c r="S5" i="9"/>
  <c r="AI5" i="9"/>
  <c r="AA9" i="9"/>
  <c r="AA67" i="9"/>
  <c r="S72" i="9"/>
  <c r="AI72" i="9"/>
  <c r="AA100" i="9"/>
  <c r="S114" i="9"/>
  <c r="R115" i="9"/>
  <c r="AJ115" i="9"/>
  <c r="AI122" i="9"/>
  <c r="AO115" i="9"/>
  <c r="AO5" i="9"/>
  <c r="AB21" i="9"/>
  <c r="T25" i="9"/>
  <c r="AJ25" i="9"/>
  <c r="AB27" i="9"/>
  <c r="AB65" i="9"/>
  <c r="T68" i="9"/>
  <c r="AJ68" i="9"/>
  <c r="AB73" i="9"/>
  <c r="AB79" i="9"/>
  <c r="T5" i="9"/>
  <c r="AJ5" i="9"/>
  <c r="AB9" i="9"/>
  <c r="AB67" i="9"/>
  <c r="T72" i="9"/>
  <c r="AJ72" i="9"/>
  <c r="AB100" i="9"/>
  <c r="T114" i="9"/>
  <c r="S115" i="9"/>
  <c r="R122" i="9"/>
  <c r="AJ122" i="9"/>
  <c r="W21" i="9"/>
  <c r="AE21" i="9"/>
  <c r="AM21" i="9"/>
  <c r="W25" i="9"/>
  <c r="AE25" i="9"/>
  <c r="AM25" i="9"/>
  <c r="W65" i="9"/>
  <c r="AE65" i="9"/>
  <c r="AM65" i="9"/>
  <c r="W68" i="9"/>
  <c r="AE68" i="9"/>
  <c r="AM68" i="9"/>
  <c r="W79" i="9"/>
  <c r="AE79" i="9"/>
  <c r="AM79" i="9"/>
  <c r="W5" i="9"/>
  <c r="AE5" i="9"/>
  <c r="AM5" i="9"/>
  <c r="W67" i="9"/>
  <c r="AE67" i="9"/>
  <c r="AM67" i="9"/>
  <c r="W72" i="9"/>
  <c r="AE72" i="9"/>
  <c r="AM72" i="9"/>
  <c r="W114" i="9"/>
  <c r="AE114" i="9"/>
  <c r="AM114" i="9"/>
  <c r="W115" i="9"/>
  <c r="AE115" i="9"/>
  <c r="AM115" i="9"/>
  <c r="X21" i="9"/>
  <c r="AF21" i="9"/>
  <c r="AN21" i="9"/>
  <c r="X25" i="9"/>
  <c r="AF25" i="9"/>
  <c r="AN25" i="9"/>
  <c r="X65" i="9"/>
  <c r="AF65" i="9"/>
  <c r="AN65" i="9"/>
  <c r="X68" i="9"/>
  <c r="AF68" i="9"/>
  <c r="AN68" i="9"/>
  <c r="X79" i="9"/>
  <c r="AF79" i="9"/>
  <c r="AN79" i="9"/>
  <c r="X5" i="9"/>
  <c r="AF5" i="9"/>
  <c r="AN5" i="9"/>
  <c r="X67" i="9"/>
  <c r="AF67" i="9"/>
  <c r="AN67" i="9"/>
  <c r="X72" i="9"/>
  <c r="AF72" i="9"/>
  <c r="AN72" i="9"/>
  <c r="X114" i="9"/>
  <c r="AF114" i="9"/>
  <c r="AN114" i="9"/>
  <c r="X115" i="9"/>
  <c r="AF115" i="9"/>
  <c r="AN115" i="9"/>
  <c r="Y21" i="9"/>
  <c r="AG21" i="9"/>
  <c r="Y25" i="9"/>
  <c r="AG25" i="9"/>
  <c r="Y65" i="9"/>
  <c r="AG65" i="9"/>
  <c r="Y68" i="9"/>
  <c r="AG68" i="9"/>
  <c r="Y79" i="9"/>
  <c r="AG79" i="9"/>
  <c r="Y5" i="9"/>
  <c r="AG5" i="9"/>
  <c r="Y67" i="9"/>
  <c r="AG67" i="9"/>
  <c r="Y72" i="9"/>
  <c r="AG72" i="9"/>
  <c r="Y114" i="9"/>
  <c r="AG114" i="9"/>
  <c r="Y115" i="9"/>
  <c r="AG115" i="9"/>
  <c r="AO12" i="9"/>
  <c r="AG12" i="9"/>
  <c r="Y12" i="9"/>
  <c r="AE12" i="9"/>
  <c r="AN12" i="9"/>
  <c r="AF12" i="9"/>
  <c r="X12" i="9"/>
  <c r="AI12" i="9"/>
  <c r="AA12" i="9"/>
  <c r="S12" i="9"/>
  <c r="AM12" i="9"/>
  <c r="AH12" i="9"/>
  <c r="Z12" i="9"/>
  <c r="R12" i="9"/>
  <c r="AO22" i="9"/>
  <c r="AG22" i="9"/>
  <c r="Y22" i="9"/>
  <c r="AE22" i="9"/>
  <c r="AN22" i="9"/>
  <c r="AF22" i="9"/>
  <c r="X22" i="9"/>
  <c r="W22" i="9"/>
  <c r="AI22" i="9"/>
  <c r="AA22" i="9"/>
  <c r="S22" i="9"/>
  <c r="AM22" i="9"/>
  <c r="AH22" i="9"/>
  <c r="Z22" i="9"/>
  <c r="R22" i="9"/>
  <c r="AB7" i="9"/>
  <c r="AB10" i="9"/>
  <c r="T11" i="9"/>
  <c r="AJ11" i="9"/>
  <c r="AB12" i="9"/>
  <c r="V22" i="9"/>
  <c r="T41" i="9"/>
  <c r="AL41" i="9"/>
  <c r="AK45" i="9"/>
  <c r="AD47" i="9"/>
  <c r="AB85" i="9"/>
  <c r="U123" i="9"/>
  <c r="AK26" i="9"/>
  <c r="AJ31" i="9"/>
  <c r="AD59" i="9"/>
  <c r="AB80" i="9"/>
  <c r="V95" i="9"/>
  <c r="U6" i="9"/>
  <c r="AM41" i="9"/>
  <c r="W41" i="9"/>
  <c r="AE41" i="9"/>
  <c r="AO45" i="9"/>
  <c r="AG45" i="9"/>
  <c r="Y45" i="9"/>
  <c r="AM45" i="9"/>
  <c r="AN45" i="9"/>
  <c r="AF45" i="9"/>
  <c r="X45" i="9"/>
  <c r="AE45" i="9"/>
  <c r="AI45" i="9"/>
  <c r="AA45" i="9"/>
  <c r="S45" i="9"/>
  <c r="W45" i="9"/>
  <c r="AH45" i="9"/>
  <c r="Z45" i="9"/>
  <c r="R45" i="9"/>
  <c r="AE47" i="9"/>
  <c r="W47" i="9"/>
  <c r="AM47" i="9"/>
  <c r="AM85" i="9"/>
  <c r="AE85" i="9"/>
  <c r="AM26" i="9"/>
  <c r="AE26" i="9"/>
  <c r="W26" i="9"/>
  <c r="AM31" i="9"/>
  <c r="AE31" i="9"/>
  <c r="W31" i="9"/>
  <c r="AE80" i="9"/>
  <c r="AM80" i="9"/>
  <c r="W80" i="9"/>
  <c r="AM95" i="9"/>
  <c r="W95" i="9"/>
  <c r="AE95" i="9"/>
  <c r="AC7" i="9"/>
  <c r="U8" i="9"/>
  <c r="AK8" i="9"/>
  <c r="AC10" i="9"/>
  <c r="U11" i="9"/>
  <c r="AK11" i="9"/>
  <c r="AC12" i="9"/>
  <c r="AB22" i="9"/>
  <c r="V30" i="9"/>
  <c r="U41" i="9"/>
  <c r="T45" i="9"/>
  <c r="AL45" i="9"/>
  <c r="AJ47" i="9"/>
  <c r="AC85" i="9"/>
  <c r="V123" i="9"/>
  <c r="U16" i="9"/>
  <c r="T26" i="9"/>
  <c r="AL26" i="9"/>
  <c r="AK31" i="9"/>
  <c r="AJ59" i="9"/>
  <c r="AD63" i="9"/>
  <c r="AC80" i="9"/>
  <c r="AB95" i="9"/>
  <c r="V6" i="9"/>
  <c r="AO11" i="9"/>
  <c r="AO85" i="9"/>
  <c r="AO31" i="9"/>
  <c r="AO95" i="9"/>
  <c r="AD7" i="9"/>
  <c r="V8" i="9"/>
  <c r="AD10" i="9"/>
  <c r="V11" i="9"/>
  <c r="AL11" i="9"/>
  <c r="AD12" i="9"/>
  <c r="AC22" i="9"/>
  <c r="V41" i="9"/>
  <c r="U45" i="9"/>
  <c r="T46" i="9"/>
  <c r="AK47" i="9"/>
  <c r="AD85" i="9"/>
  <c r="U26" i="9"/>
  <c r="T31" i="9"/>
  <c r="AL31" i="9"/>
  <c r="AK59" i="9"/>
  <c r="AD80" i="9"/>
  <c r="AC95" i="9"/>
  <c r="AB6" i="9"/>
  <c r="AB45" i="9"/>
  <c r="AK85" i="9"/>
  <c r="AJ95" i="9"/>
  <c r="AL12" i="9"/>
  <c r="T80" i="9"/>
  <c r="AO123" i="9"/>
  <c r="AG123" i="9"/>
  <c r="Y123" i="9"/>
  <c r="AM123" i="9"/>
  <c r="AN123" i="9"/>
  <c r="AF123" i="9"/>
  <c r="X123" i="9"/>
  <c r="AE123" i="9"/>
  <c r="AI123" i="9"/>
  <c r="AA123" i="9"/>
  <c r="S123" i="9"/>
  <c r="W123" i="9"/>
  <c r="AH123" i="9"/>
  <c r="Z123" i="9"/>
  <c r="R123" i="9"/>
  <c r="AO59" i="9"/>
  <c r="AG59" i="9"/>
  <c r="Y59" i="9"/>
  <c r="AM59" i="9"/>
  <c r="AN59" i="9"/>
  <c r="AF59" i="9"/>
  <c r="X59" i="9"/>
  <c r="AE59" i="9"/>
  <c r="AI59" i="9"/>
  <c r="AA59" i="9"/>
  <c r="S59" i="9"/>
  <c r="W59" i="9"/>
  <c r="AH59" i="9"/>
  <c r="Z59" i="9"/>
  <c r="R59" i="9"/>
  <c r="W11" i="9"/>
  <c r="AM11" i="9"/>
  <c r="AJ12" i="9"/>
  <c r="AD22" i="9"/>
  <c r="AB41" i="9"/>
  <c r="T47" i="9"/>
  <c r="AJ85" i="9"/>
  <c r="AO26" i="9"/>
  <c r="AO80" i="9"/>
  <c r="AJ10" i="9"/>
  <c r="AK12" i="9"/>
  <c r="AD123" i="9"/>
  <c r="AB26" i="9"/>
  <c r="AK80" i="9"/>
  <c r="AK10" i="9"/>
  <c r="U12" i="9"/>
  <c r="AD41" i="9"/>
  <c r="AC45" i="9"/>
  <c r="AJ123" i="9"/>
  <c r="AC26" i="9"/>
  <c r="AB31" i="9"/>
  <c r="V59" i="9"/>
  <c r="AK95" i="9"/>
  <c r="AJ6" i="9"/>
  <c r="AO8" i="9"/>
  <c r="AG8" i="9"/>
  <c r="Y8" i="9"/>
  <c r="AN8" i="9"/>
  <c r="AF8" i="9"/>
  <c r="X8" i="9"/>
  <c r="AI8" i="9"/>
  <c r="AA8" i="9"/>
  <c r="S8" i="9"/>
  <c r="AH8" i="9"/>
  <c r="Z8" i="9"/>
  <c r="R8" i="9"/>
  <c r="AO30" i="9"/>
  <c r="AG30" i="9"/>
  <c r="Y30" i="9"/>
  <c r="AM30" i="9"/>
  <c r="AN30" i="9"/>
  <c r="AF30" i="9"/>
  <c r="X30" i="9"/>
  <c r="W30" i="9"/>
  <c r="AI30" i="9"/>
  <c r="AA30" i="9"/>
  <c r="S30" i="9"/>
  <c r="AE30" i="9"/>
  <c r="AH30" i="9"/>
  <c r="Z30" i="9"/>
  <c r="R30" i="9"/>
  <c r="AO46" i="9"/>
  <c r="AG46" i="9"/>
  <c r="Y46" i="9"/>
  <c r="AM46" i="9"/>
  <c r="AN46" i="9"/>
  <c r="AF46" i="9"/>
  <c r="X46" i="9"/>
  <c r="AE46" i="9"/>
  <c r="AI46" i="9"/>
  <c r="AA46" i="9"/>
  <c r="S46" i="9"/>
  <c r="W46" i="9"/>
  <c r="AH46" i="9"/>
  <c r="Z46" i="9"/>
  <c r="R46" i="9"/>
  <c r="AO16" i="9"/>
  <c r="AG16" i="9"/>
  <c r="Y16" i="9"/>
  <c r="AE16" i="9"/>
  <c r="AN16" i="9"/>
  <c r="AF16" i="9"/>
  <c r="X16" i="9"/>
  <c r="AI16" i="9"/>
  <c r="AA16" i="9"/>
  <c r="S16" i="9"/>
  <c r="AM16" i="9"/>
  <c r="W16" i="9"/>
  <c r="AH16" i="9"/>
  <c r="Z16" i="9"/>
  <c r="R16" i="9"/>
  <c r="AO63" i="9"/>
  <c r="AG63" i="9"/>
  <c r="Y63" i="9"/>
  <c r="AE63" i="9"/>
  <c r="AN63" i="9"/>
  <c r="AF63" i="9"/>
  <c r="X63" i="9"/>
  <c r="W63" i="9"/>
  <c r="AI63" i="9"/>
  <c r="AA63" i="9"/>
  <c r="S63" i="9"/>
  <c r="AM63" i="9"/>
  <c r="AH63" i="9"/>
  <c r="Z63" i="9"/>
  <c r="R63" i="9"/>
  <c r="AM88" i="9"/>
  <c r="W88" i="9"/>
  <c r="AE88" i="9"/>
  <c r="V7" i="9"/>
  <c r="AD8" i="9"/>
  <c r="V10" i="9"/>
  <c r="AL10" i="9"/>
  <c r="AD11" i="9"/>
  <c r="V12" i="9"/>
  <c r="T22" i="9"/>
  <c r="AL22" i="9"/>
  <c r="AK30" i="9"/>
  <c r="AJ41" i="9"/>
  <c r="AD45" i="9"/>
  <c r="AC46" i="9"/>
  <c r="AB47" i="9"/>
  <c r="V85" i="9"/>
  <c r="T88" i="9"/>
  <c r="AL88" i="9"/>
  <c r="AK123" i="9"/>
  <c r="AJ16" i="9"/>
  <c r="AD26" i="9"/>
  <c r="AC31" i="9"/>
  <c r="AB59" i="9"/>
  <c r="V63" i="9"/>
  <c r="U80" i="9"/>
  <c r="T95" i="9"/>
  <c r="AL95" i="9"/>
  <c r="AO7" i="9"/>
  <c r="AG7" i="9"/>
  <c r="Y7" i="9"/>
  <c r="AN7" i="9"/>
  <c r="AF7" i="9"/>
  <c r="X7" i="9"/>
  <c r="AI7" i="9"/>
  <c r="AA7" i="9"/>
  <c r="S7" i="9"/>
  <c r="AH7" i="9"/>
  <c r="Z7" i="9"/>
  <c r="R7" i="9"/>
  <c r="AO6" i="9"/>
  <c r="AG6" i="9"/>
  <c r="Y6" i="9"/>
  <c r="AM6" i="9"/>
  <c r="AN6" i="9"/>
  <c r="AF6" i="9"/>
  <c r="X6" i="9"/>
  <c r="AE6" i="9"/>
  <c r="W6" i="9"/>
  <c r="AI6" i="9"/>
  <c r="AA6" i="9"/>
  <c r="S6" i="9"/>
  <c r="AH6" i="9"/>
  <c r="Z6" i="9"/>
  <c r="R6" i="9"/>
  <c r="AO41" i="9"/>
  <c r="AE7" i="9"/>
  <c r="AE10" i="9"/>
  <c r="AL47" i="9"/>
  <c r="AC123" i="9"/>
  <c r="U31" i="9"/>
  <c r="T59" i="9"/>
  <c r="AC6" i="9"/>
  <c r="AO10" i="9"/>
  <c r="AO47" i="9"/>
  <c r="T7" i="9"/>
  <c r="AJ7" i="9"/>
  <c r="T12" i="9"/>
  <c r="AJ22" i="9"/>
  <c r="U59" i="9"/>
  <c r="AD6" i="9"/>
  <c r="U7" i="9"/>
  <c r="AK7" i="9"/>
  <c r="U10" i="9"/>
  <c r="AC11" i="9"/>
  <c r="AK22" i="9"/>
  <c r="V47" i="9"/>
  <c r="U85" i="9"/>
  <c r="AL85" i="9"/>
  <c r="AL80" i="9"/>
  <c r="W7" i="9"/>
  <c r="AM7" i="9"/>
  <c r="AE8" i="9"/>
  <c r="W10" i="9"/>
  <c r="W12" i="9"/>
  <c r="U22" i="9"/>
  <c r="T30" i="9"/>
  <c r="AL30" i="9"/>
  <c r="AK41" i="9"/>
  <c r="AJ45" i="9"/>
  <c r="AD46" i="9"/>
  <c r="AC47" i="9"/>
  <c r="W85" i="9"/>
  <c r="U88" i="9"/>
  <c r="T123" i="9"/>
  <c r="AL123" i="9"/>
  <c r="AK16" i="9"/>
  <c r="AJ26" i="9"/>
  <c r="AD31" i="9"/>
  <c r="AC59" i="9"/>
  <c r="AB63" i="9"/>
  <c r="V80" i="9"/>
  <c r="U95" i="9"/>
  <c r="T6" i="9"/>
  <c r="AL6" i="9"/>
  <c r="R10" i="9"/>
  <c r="Z10" i="9"/>
  <c r="AH10" i="9"/>
  <c r="R11" i="9"/>
  <c r="Z11" i="9"/>
  <c r="AH11" i="9"/>
  <c r="R41" i="9"/>
  <c r="Z41" i="9"/>
  <c r="AH41" i="9"/>
  <c r="R47" i="9"/>
  <c r="Z47" i="9"/>
  <c r="AH47" i="9"/>
  <c r="R85" i="9"/>
  <c r="Z85" i="9"/>
  <c r="AH85" i="9"/>
  <c r="R88" i="9"/>
  <c r="Z88" i="9"/>
  <c r="R26" i="9"/>
  <c r="Z26" i="9"/>
  <c r="AH26" i="9"/>
  <c r="R31" i="9"/>
  <c r="Z31" i="9"/>
  <c r="AH31" i="9"/>
  <c r="R80" i="9"/>
  <c r="Z80" i="9"/>
  <c r="AH80" i="9"/>
  <c r="R95" i="9"/>
  <c r="Z95" i="9"/>
  <c r="AH95" i="9"/>
  <c r="S10" i="9"/>
  <c r="AA10" i="9"/>
  <c r="AI10" i="9"/>
  <c r="S11" i="9"/>
  <c r="AA11" i="9"/>
  <c r="AI11" i="9"/>
  <c r="S41" i="9"/>
  <c r="AA41" i="9"/>
  <c r="AI41" i="9"/>
  <c r="S47" i="9"/>
  <c r="AA47" i="9"/>
  <c r="AI47" i="9"/>
  <c r="S85" i="9"/>
  <c r="AA85" i="9"/>
  <c r="AI85" i="9"/>
  <c r="S88" i="9"/>
  <c r="AA88" i="9"/>
  <c r="AI88" i="9"/>
  <c r="S26" i="9"/>
  <c r="AA26" i="9"/>
  <c r="AI26" i="9"/>
  <c r="S31" i="9"/>
  <c r="AA31" i="9"/>
  <c r="AI31" i="9"/>
  <c r="S80" i="9"/>
  <c r="AA80" i="9"/>
  <c r="AI80" i="9"/>
  <c r="S95" i="9"/>
  <c r="AA95" i="9"/>
  <c r="AI95" i="9"/>
  <c r="X10" i="9"/>
  <c r="AF10" i="9"/>
  <c r="AN10" i="9"/>
  <c r="X11" i="9"/>
  <c r="AF11" i="9"/>
  <c r="AN11" i="9"/>
  <c r="X41" i="9"/>
  <c r="AF41" i="9"/>
  <c r="AN41" i="9"/>
  <c r="X47" i="9"/>
  <c r="AF47" i="9"/>
  <c r="AN47" i="9"/>
  <c r="X85" i="9"/>
  <c r="AF85" i="9"/>
  <c r="AN85" i="9"/>
  <c r="X88" i="9"/>
  <c r="AF88" i="9"/>
  <c r="AN88" i="9"/>
  <c r="X26" i="9"/>
  <c r="AF26" i="9"/>
  <c r="AN26" i="9"/>
  <c r="X31" i="9"/>
  <c r="AF31" i="9"/>
  <c r="AN31" i="9"/>
  <c r="X80" i="9"/>
  <c r="AF80" i="9"/>
  <c r="AN80" i="9"/>
  <c r="X95" i="9"/>
  <c r="AF95" i="9"/>
  <c r="AN95" i="9"/>
  <c r="Y10" i="9"/>
  <c r="AG10" i="9"/>
  <c r="Y11" i="9"/>
  <c r="AG11" i="9"/>
  <c r="Y41" i="9"/>
  <c r="AG41" i="9"/>
  <c r="Y47" i="9"/>
  <c r="AG47" i="9"/>
  <c r="Y85" i="9"/>
  <c r="AG85" i="9"/>
  <c r="Y88" i="9"/>
  <c r="AG88" i="9"/>
  <c r="Y26" i="9"/>
  <c r="AG26" i="9"/>
  <c r="Y31" i="9"/>
  <c r="AG31" i="9"/>
  <c r="Y80" i="9"/>
  <c r="AG80" i="9"/>
  <c r="Y95" i="9"/>
  <c r="AG95" i="9"/>
  <c r="AH19" i="9"/>
  <c r="Z35" i="9"/>
  <c r="S117" i="9"/>
  <c r="R82" i="9"/>
  <c r="S23" i="9"/>
  <c r="Z49" i="9"/>
  <c r="AH50" i="9"/>
  <c r="U109" i="9"/>
  <c r="AA96" i="9"/>
  <c r="AH36" i="9"/>
  <c r="AA49" i="9"/>
  <c r="AI36" i="9"/>
  <c r="AH32" i="9"/>
  <c r="AI98" i="9"/>
  <c r="AL54" i="9"/>
  <c r="AD111" i="9"/>
  <c r="AK104" i="9"/>
  <c r="AL70" i="9"/>
  <c r="AI96" i="9"/>
  <c r="Z120" i="9"/>
  <c r="R93" i="9"/>
  <c r="Z60" i="9"/>
  <c r="AH52" i="9"/>
  <c r="Z3" i="9"/>
  <c r="AD49" i="9"/>
  <c r="AL23" i="9"/>
  <c r="AH23" i="9"/>
  <c r="AI49" i="9"/>
  <c r="AI82" i="9"/>
  <c r="Z23" i="9"/>
  <c r="V43" i="9"/>
  <c r="AK112" i="9"/>
  <c r="AK55" i="9"/>
  <c r="AL87" i="9"/>
  <c r="X75" i="9"/>
  <c r="Z117" i="9"/>
  <c r="AO117" i="9"/>
  <c r="AO82" i="9"/>
  <c r="AO36" i="9"/>
  <c r="R96" i="9"/>
  <c r="S36" i="9"/>
  <c r="Z82" i="9"/>
  <c r="AA117" i="9"/>
  <c r="AH96" i="9"/>
  <c r="X64" i="9"/>
  <c r="AL103" i="9"/>
  <c r="AK110" i="9"/>
  <c r="AH49" i="9"/>
  <c r="R49" i="9"/>
  <c r="S96" i="9"/>
  <c r="Z36" i="9"/>
  <c r="AA82" i="9"/>
  <c r="AH117" i="9"/>
  <c r="AA23" i="9"/>
  <c r="AI23" i="9"/>
  <c r="AF44" i="9"/>
  <c r="AC106" i="9"/>
  <c r="AE89" i="9"/>
  <c r="AD36" i="9"/>
  <c r="Z39" i="9"/>
  <c r="AH35" i="9"/>
  <c r="R23" i="9"/>
  <c r="S49" i="9"/>
  <c r="Z96" i="9"/>
  <c r="AA36" i="9"/>
  <c r="AH82" i="9"/>
  <c r="AI117" i="9"/>
  <c r="AL97" i="9"/>
  <c r="V97" i="9"/>
  <c r="AD97" i="9"/>
  <c r="AM97" i="9"/>
  <c r="AE97" i="9"/>
  <c r="W97" i="9"/>
  <c r="AJ97" i="9"/>
  <c r="AB97" i="9"/>
  <c r="T97" i="9"/>
  <c r="AI97" i="9"/>
  <c r="AA97" i="9"/>
  <c r="S97" i="9"/>
  <c r="AO62" i="9"/>
  <c r="AG62" i="9"/>
  <c r="Y62" i="9"/>
  <c r="V62" i="9"/>
  <c r="S62" i="9"/>
  <c r="AN62" i="9"/>
  <c r="AF62" i="9"/>
  <c r="X62" i="9"/>
  <c r="AL62" i="9"/>
  <c r="AI62" i="9"/>
  <c r="AA62" i="9"/>
  <c r="AM62" i="9"/>
  <c r="AE62" i="9"/>
  <c r="W62" i="9"/>
  <c r="AD62" i="9"/>
  <c r="AK62" i="9"/>
  <c r="AC62" i="9"/>
  <c r="U62" i="9"/>
  <c r="AJ62" i="9"/>
  <c r="AB62" i="9"/>
  <c r="T62" i="9"/>
  <c r="AO19" i="9"/>
  <c r="AG19" i="9"/>
  <c r="Y19" i="9"/>
  <c r="V19" i="9"/>
  <c r="AN19" i="9"/>
  <c r="AF19" i="9"/>
  <c r="X19" i="9"/>
  <c r="AL19" i="9"/>
  <c r="AD19" i="9"/>
  <c r="AM19" i="9"/>
  <c r="AE19" i="9"/>
  <c r="W19" i="9"/>
  <c r="AI19" i="9"/>
  <c r="AA19" i="9"/>
  <c r="AK19" i="9"/>
  <c r="AC19" i="9"/>
  <c r="U19" i="9"/>
  <c r="AJ19" i="9"/>
  <c r="AB19" i="9"/>
  <c r="T19" i="9"/>
  <c r="S19" i="9"/>
  <c r="R3" i="9"/>
  <c r="R97" i="9"/>
  <c r="S3" i="9"/>
  <c r="R60" i="9"/>
  <c r="Z97" i="9"/>
  <c r="AH97" i="9"/>
  <c r="AO102" i="9"/>
  <c r="AG102" i="9"/>
  <c r="Y102" i="9"/>
  <c r="AD102" i="9"/>
  <c r="AN102" i="9"/>
  <c r="AF102" i="9"/>
  <c r="X102" i="9"/>
  <c r="AL102" i="9"/>
  <c r="V102" i="9"/>
  <c r="AM102" i="9"/>
  <c r="AE102" i="9"/>
  <c r="W102" i="9"/>
  <c r="AK102" i="9"/>
  <c r="AC102" i="9"/>
  <c r="U102" i="9"/>
  <c r="AJ102" i="9"/>
  <c r="AB102" i="9"/>
  <c r="T102" i="9"/>
  <c r="AI102" i="9"/>
  <c r="AA102" i="9"/>
  <c r="S102" i="9"/>
  <c r="AD60" i="9"/>
  <c r="S60" i="9"/>
  <c r="AL60" i="9"/>
  <c r="V60" i="9"/>
  <c r="AI60" i="9"/>
  <c r="AM60" i="9"/>
  <c r="AE60" i="9"/>
  <c r="W60" i="9"/>
  <c r="AJ60" i="9"/>
  <c r="AB60" i="9"/>
  <c r="T60" i="9"/>
  <c r="AA60" i="9"/>
  <c r="AD3" i="9"/>
  <c r="AL3" i="9"/>
  <c r="AM3" i="9"/>
  <c r="AE3" i="9"/>
  <c r="W3" i="9"/>
  <c r="V3" i="9"/>
  <c r="AI3" i="9"/>
  <c r="AJ3" i="9"/>
  <c r="AB3" i="9"/>
  <c r="T3" i="9"/>
  <c r="AA3" i="9"/>
  <c r="AH60" i="9"/>
  <c r="R102" i="9"/>
  <c r="AO52" i="9"/>
  <c r="R120" i="9"/>
  <c r="R19" i="9"/>
  <c r="Z62" i="9"/>
  <c r="AH102" i="9"/>
  <c r="S120" i="9"/>
  <c r="AA120" i="9"/>
  <c r="AI120" i="9"/>
  <c r="AI93" i="9"/>
  <c r="AA93" i="9"/>
  <c r="S93" i="9"/>
  <c r="S52" i="9"/>
  <c r="AA52" i="9"/>
  <c r="AI52" i="9"/>
  <c r="AO120" i="9"/>
  <c r="AO93" i="9"/>
  <c r="AH3" i="9"/>
  <c r="R62" i="9"/>
  <c r="Z102" i="9"/>
  <c r="AO97" i="9"/>
  <c r="AO60" i="9"/>
  <c r="AO3" i="9"/>
  <c r="Z19" i="9"/>
  <c r="R52" i="9"/>
  <c r="AH62" i="9"/>
  <c r="Z93" i="9"/>
  <c r="AH120" i="9"/>
  <c r="T36" i="9"/>
  <c r="AB36" i="9"/>
  <c r="AJ36" i="9"/>
  <c r="T52" i="9"/>
  <c r="AB52" i="9"/>
  <c r="AJ52" i="9"/>
  <c r="T82" i="9"/>
  <c r="AB82" i="9"/>
  <c r="AJ82" i="9"/>
  <c r="T93" i="9"/>
  <c r="AB93" i="9"/>
  <c r="AJ93" i="9"/>
  <c r="T117" i="9"/>
  <c r="AB117" i="9"/>
  <c r="AJ117" i="9"/>
  <c r="T120" i="9"/>
  <c r="AB120" i="9"/>
  <c r="AJ120" i="9"/>
  <c r="U3" i="9"/>
  <c r="AC3" i="9"/>
  <c r="AK3" i="9"/>
  <c r="U36" i="9"/>
  <c r="AC36" i="9"/>
  <c r="AK36" i="9"/>
  <c r="U52" i="9"/>
  <c r="AC52" i="9"/>
  <c r="AK52" i="9"/>
  <c r="U60" i="9"/>
  <c r="AC60" i="9"/>
  <c r="AK60" i="9"/>
  <c r="U82" i="9"/>
  <c r="AC82" i="9"/>
  <c r="AK82" i="9"/>
  <c r="U93" i="9"/>
  <c r="AC93" i="9"/>
  <c r="AK93" i="9"/>
  <c r="U97" i="9"/>
  <c r="AC97" i="9"/>
  <c r="AK97" i="9"/>
  <c r="U117" i="9"/>
  <c r="AC117" i="9"/>
  <c r="AK117" i="9"/>
  <c r="U120" i="9"/>
  <c r="AC120" i="9"/>
  <c r="AK120" i="9"/>
  <c r="W36" i="9"/>
  <c r="AE36" i="9"/>
  <c r="AM36" i="9"/>
  <c r="W52" i="9"/>
  <c r="AE52" i="9"/>
  <c r="AM52" i="9"/>
  <c r="W82" i="9"/>
  <c r="AE82" i="9"/>
  <c r="AM82" i="9"/>
  <c r="W93" i="9"/>
  <c r="AE93" i="9"/>
  <c r="AM93" i="9"/>
  <c r="W117" i="9"/>
  <c r="AE117" i="9"/>
  <c r="AM117" i="9"/>
  <c r="W120" i="9"/>
  <c r="AE120" i="9"/>
  <c r="AM120" i="9"/>
  <c r="AL36" i="9"/>
  <c r="AD82" i="9"/>
  <c r="V93" i="9"/>
  <c r="AD93" i="9"/>
  <c r="AL93" i="9"/>
  <c r="AL117" i="9"/>
  <c r="AD120" i="9"/>
  <c r="X3" i="9"/>
  <c r="AF3" i="9"/>
  <c r="AN3" i="9"/>
  <c r="X36" i="9"/>
  <c r="AF36" i="9"/>
  <c r="AN36" i="9"/>
  <c r="X52" i="9"/>
  <c r="AF52" i="9"/>
  <c r="AN52" i="9"/>
  <c r="X60" i="9"/>
  <c r="AF60" i="9"/>
  <c r="AN60" i="9"/>
  <c r="X82" i="9"/>
  <c r="AF82" i="9"/>
  <c r="AN82" i="9"/>
  <c r="X93" i="9"/>
  <c r="AF93" i="9"/>
  <c r="AN93" i="9"/>
  <c r="X97" i="9"/>
  <c r="AF97" i="9"/>
  <c r="AN97" i="9"/>
  <c r="X117" i="9"/>
  <c r="AF117" i="9"/>
  <c r="AN117" i="9"/>
  <c r="X120" i="9"/>
  <c r="AF120" i="9"/>
  <c r="AN120" i="9"/>
  <c r="V36" i="9"/>
  <c r="V52" i="9"/>
  <c r="AD52" i="9"/>
  <c r="AL52" i="9"/>
  <c r="V82" i="9"/>
  <c r="AL82" i="9"/>
  <c r="V117" i="9"/>
  <c r="AD117" i="9"/>
  <c r="V120" i="9"/>
  <c r="AL120" i="9"/>
  <c r="Y3" i="9"/>
  <c r="AG3" i="9"/>
  <c r="Y36" i="9"/>
  <c r="AG36" i="9"/>
  <c r="Y52" i="9"/>
  <c r="AG52" i="9"/>
  <c r="Y60" i="9"/>
  <c r="AG60" i="9"/>
  <c r="Y82" i="9"/>
  <c r="AG82" i="9"/>
  <c r="Y93" i="9"/>
  <c r="AG93" i="9"/>
  <c r="Y97" i="9"/>
  <c r="AG97" i="9"/>
  <c r="Y117" i="9"/>
  <c r="AG117" i="9"/>
  <c r="Y120" i="9"/>
  <c r="AG120" i="9"/>
  <c r="AI101" i="9"/>
  <c r="R101" i="9"/>
  <c r="AA101" i="9"/>
  <c r="Z101" i="9"/>
  <c r="S101" i="9"/>
  <c r="AD38" i="9"/>
  <c r="AI38" i="9"/>
  <c r="AA38" i="9"/>
  <c r="S38" i="9"/>
  <c r="AL38" i="9"/>
  <c r="AM38" i="9"/>
  <c r="AE38" i="9"/>
  <c r="W38" i="9"/>
  <c r="V38" i="9"/>
  <c r="AJ38" i="9"/>
  <c r="AB38" i="9"/>
  <c r="T38" i="9"/>
  <c r="R38" i="9"/>
  <c r="Z38" i="9"/>
  <c r="AA50" i="9"/>
  <c r="AI50" i="9"/>
  <c r="S50" i="9"/>
  <c r="AD119" i="9"/>
  <c r="S119" i="9"/>
  <c r="Z119" i="9"/>
  <c r="AL119" i="9"/>
  <c r="AI119" i="9"/>
  <c r="AH119" i="9"/>
  <c r="AM119" i="9"/>
  <c r="AE119" i="9"/>
  <c r="W119" i="9"/>
  <c r="V119" i="9"/>
  <c r="AJ119" i="9"/>
  <c r="AB119" i="9"/>
  <c r="T119" i="9"/>
  <c r="AA119" i="9"/>
  <c r="R119" i="9"/>
  <c r="AL74" i="9"/>
  <c r="V74" i="9"/>
  <c r="AA74" i="9"/>
  <c r="Z74" i="9"/>
  <c r="AD74" i="9"/>
  <c r="AI74" i="9"/>
  <c r="R74" i="9"/>
  <c r="AM74" i="9"/>
  <c r="AE74" i="9"/>
  <c r="W74" i="9"/>
  <c r="AJ74" i="9"/>
  <c r="AB74" i="9"/>
  <c r="T74" i="9"/>
  <c r="S74" i="9"/>
  <c r="AH74" i="9"/>
  <c r="AI35" i="9"/>
  <c r="AA35" i="9"/>
  <c r="S35" i="9"/>
  <c r="AH38" i="9"/>
  <c r="R39" i="9"/>
  <c r="R50" i="9"/>
  <c r="AO121" i="9"/>
  <c r="AG121" i="9"/>
  <c r="Y121" i="9"/>
  <c r="AL121" i="9"/>
  <c r="V121" i="9"/>
  <c r="S121" i="9"/>
  <c r="Z121" i="9"/>
  <c r="AN121" i="9"/>
  <c r="AF121" i="9"/>
  <c r="X121" i="9"/>
  <c r="AD121" i="9"/>
  <c r="AI121" i="9"/>
  <c r="AH121" i="9"/>
  <c r="AM121" i="9"/>
  <c r="AE121" i="9"/>
  <c r="W121" i="9"/>
  <c r="AK121" i="9"/>
  <c r="AC121" i="9"/>
  <c r="U121" i="9"/>
  <c r="AJ121" i="9"/>
  <c r="AB121" i="9"/>
  <c r="T121" i="9"/>
  <c r="AA121" i="9"/>
  <c r="R121" i="9"/>
  <c r="AO77" i="9"/>
  <c r="AG77" i="9"/>
  <c r="Y77" i="9"/>
  <c r="AD77" i="9"/>
  <c r="AA77" i="9"/>
  <c r="AN77" i="9"/>
  <c r="AF77" i="9"/>
  <c r="X77" i="9"/>
  <c r="AL77" i="9"/>
  <c r="V77" i="9"/>
  <c r="AI77" i="9"/>
  <c r="AM77" i="9"/>
  <c r="AE77" i="9"/>
  <c r="W77" i="9"/>
  <c r="AK77" i="9"/>
  <c r="AC77" i="9"/>
  <c r="U77" i="9"/>
  <c r="AJ77" i="9"/>
  <c r="AB77" i="9"/>
  <c r="T77" i="9"/>
  <c r="S77" i="9"/>
  <c r="AH77" i="9"/>
  <c r="Z77" i="9"/>
  <c r="R77" i="9"/>
  <c r="AO39" i="9"/>
  <c r="AG39" i="9"/>
  <c r="Y39" i="9"/>
  <c r="AL39" i="9"/>
  <c r="AD39" i="9"/>
  <c r="V39" i="9"/>
  <c r="AI39" i="9"/>
  <c r="AA39" i="9"/>
  <c r="S39" i="9"/>
  <c r="AN39" i="9"/>
  <c r="AF39" i="9"/>
  <c r="X39" i="9"/>
  <c r="AM39" i="9"/>
  <c r="AE39" i="9"/>
  <c r="W39" i="9"/>
  <c r="AK39" i="9"/>
  <c r="AC39" i="9"/>
  <c r="U39" i="9"/>
  <c r="AJ39" i="9"/>
  <c r="AB39" i="9"/>
  <c r="T39" i="9"/>
  <c r="AO101" i="9"/>
  <c r="AO50" i="9"/>
  <c r="AO35" i="9"/>
  <c r="AO119" i="9"/>
  <c r="AO74" i="9"/>
  <c r="AO38" i="9"/>
  <c r="R35" i="9"/>
  <c r="AH39" i="9"/>
  <c r="Z50" i="9"/>
  <c r="AH101" i="9"/>
  <c r="T23" i="9"/>
  <c r="AB23" i="9"/>
  <c r="AJ23" i="9"/>
  <c r="T35" i="9"/>
  <c r="AB35" i="9"/>
  <c r="AJ35" i="9"/>
  <c r="T49" i="9"/>
  <c r="AB49" i="9"/>
  <c r="AJ49" i="9"/>
  <c r="T50" i="9"/>
  <c r="AB50" i="9"/>
  <c r="AJ50" i="9"/>
  <c r="T96" i="9"/>
  <c r="AB96" i="9"/>
  <c r="AJ96" i="9"/>
  <c r="T101" i="9"/>
  <c r="AB101" i="9"/>
  <c r="AJ101" i="9"/>
  <c r="U23" i="9"/>
  <c r="AC23" i="9"/>
  <c r="AK23" i="9"/>
  <c r="U35" i="9"/>
  <c r="AC35" i="9"/>
  <c r="AK35" i="9"/>
  <c r="U38" i="9"/>
  <c r="AC38" i="9"/>
  <c r="AK38" i="9"/>
  <c r="U49" i="9"/>
  <c r="AC49" i="9"/>
  <c r="AK49" i="9"/>
  <c r="U50" i="9"/>
  <c r="AC50" i="9"/>
  <c r="AK50" i="9"/>
  <c r="U74" i="9"/>
  <c r="AC74" i="9"/>
  <c r="AK74" i="9"/>
  <c r="U96" i="9"/>
  <c r="AC96" i="9"/>
  <c r="AK96" i="9"/>
  <c r="U101" i="9"/>
  <c r="AC101" i="9"/>
  <c r="AK101" i="9"/>
  <c r="U119" i="9"/>
  <c r="AC119" i="9"/>
  <c r="AK119" i="9"/>
  <c r="W23" i="9"/>
  <c r="AE23" i="9"/>
  <c r="AM23" i="9"/>
  <c r="W35" i="9"/>
  <c r="AE35" i="9"/>
  <c r="AM35" i="9"/>
  <c r="W49" i="9"/>
  <c r="AE49" i="9"/>
  <c r="AM49" i="9"/>
  <c r="W50" i="9"/>
  <c r="AE50" i="9"/>
  <c r="AM50" i="9"/>
  <c r="W96" i="9"/>
  <c r="AE96" i="9"/>
  <c r="AM96" i="9"/>
  <c r="W101" i="9"/>
  <c r="AE101" i="9"/>
  <c r="AM101" i="9"/>
  <c r="AD23" i="9"/>
  <c r="V35" i="9"/>
  <c r="AL35" i="9"/>
  <c r="V49" i="9"/>
  <c r="AL49" i="9"/>
  <c r="AD50" i="9"/>
  <c r="AL50" i="9"/>
  <c r="AD96" i="9"/>
  <c r="V101" i="9"/>
  <c r="AL101" i="9"/>
  <c r="X23" i="9"/>
  <c r="AF23" i="9"/>
  <c r="AN23" i="9"/>
  <c r="X35" i="9"/>
  <c r="AF35" i="9"/>
  <c r="AN35" i="9"/>
  <c r="X38" i="9"/>
  <c r="AF38" i="9"/>
  <c r="AN38" i="9"/>
  <c r="X49" i="9"/>
  <c r="AF49" i="9"/>
  <c r="AN49" i="9"/>
  <c r="X50" i="9"/>
  <c r="AF50" i="9"/>
  <c r="AN50" i="9"/>
  <c r="X74" i="9"/>
  <c r="AF74" i="9"/>
  <c r="AN74" i="9"/>
  <c r="X96" i="9"/>
  <c r="AF96" i="9"/>
  <c r="AN96" i="9"/>
  <c r="X101" i="9"/>
  <c r="AF101" i="9"/>
  <c r="AN101" i="9"/>
  <c r="X119" i="9"/>
  <c r="AF119" i="9"/>
  <c r="AN119" i="9"/>
  <c r="V23" i="9"/>
  <c r="AD35" i="9"/>
  <c r="V50" i="9"/>
  <c r="V96" i="9"/>
  <c r="AL96" i="9"/>
  <c r="AD101" i="9"/>
  <c r="Y23" i="9"/>
  <c r="AG23" i="9"/>
  <c r="Y35" i="9"/>
  <c r="AG35" i="9"/>
  <c r="Y38" i="9"/>
  <c r="AG38" i="9"/>
  <c r="Y49" i="9"/>
  <c r="AG49" i="9"/>
  <c r="Y50" i="9"/>
  <c r="AG50" i="9"/>
  <c r="Y74" i="9"/>
  <c r="AG74" i="9"/>
  <c r="Y96" i="9"/>
  <c r="AG96" i="9"/>
  <c r="Y101" i="9"/>
  <c r="AG101" i="9"/>
  <c r="Y119" i="9"/>
  <c r="AG119" i="9"/>
  <c r="AF15" i="9"/>
  <c r="AA15" i="9"/>
  <c r="AN15" i="9"/>
  <c r="X15" i="9"/>
  <c r="AI15" i="9"/>
  <c r="AA34" i="9"/>
  <c r="AL34" i="9"/>
  <c r="V34" i="9"/>
  <c r="AI34" i="9"/>
  <c r="S34" i="9"/>
  <c r="AD34" i="9"/>
  <c r="AN78" i="9"/>
  <c r="X78" i="9"/>
  <c r="AI78" i="9"/>
  <c r="S78" i="9"/>
  <c r="AF78" i="9"/>
  <c r="AA78" i="9"/>
  <c r="AB116" i="9"/>
  <c r="AM116" i="9"/>
  <c r="W116" i="9"/>
  <c r="AJ116" i="9"/>
  <c r="T116" i="9"/>
  <c r="AE116" i="9"/>
  <c r="AM33" i="9"/>
  <c r="AE33" i="9"/>
  <c r="W33" i="9"/>
  <c r="AL33" i="9"/>
  <c r="AD33" i="9"/>
  <c r="V33" i="9"/>
  <c r="AO33" i="9"/>
  <c r="AG33" i="9"/>
  <c r="Y33" i="9"/>
  <c r="AN33" i="9"/>
  <c r="AF33" i="9"/>
  <c r="X33" i="9"/>
  <c r="AH33" i="9"/>
  <c r="AC33" i="9"/>
  <c r="Z33" i="9"/>
  <c r="R33" i="9"/>
  <c r="AK33" i="9"/>
  <c r="U33" i="9"/>
  <c r="AM4" i="9"/>
  <c r="W4" i="9"/>
  <c r="AO40" i="9"/>
  <c r="AG40" i="9"/>
  <c r="Y40" i="9"/>
  <c r="AN40" i="9"/>
  <c r="AF40" i="9"/>
  <c r="X40" i="9"/>
  <c r="AI40" i="9"/>
  <c r="AA40" i="9"/>
  <c r="S40" i="9"/>
  <c r="AH40" i="9"/>
  <c r="Z40" i="9"/>
  <c r="R40" i="9"/>
  <c r="AB40" i="9"/>
  <c r="AM40" i="9"/>
  <c r="W40" i="9"/>
  <c r="AJ40" i="9"/>
  <c r="T40" i="9"/>
  <c r="AE40" i="9"/>
  <c r="AM51" i="9"/>
  <c r="W51" i="9"/>
  <c r="AO71" i="9"/>
  <c r="AG71" i="9"/>
  <c r="Y71" i="9"/>
  <c r="AN71" i="9"/>
  <c r="AF71" i="9"/>
  <c r="X71" i="9"/>
  <c r="AI71" i="9"/>
  <c r="AA71" i="9"/>
  <c r="S71" i="9"/>
  <c r="AH71" i="9"/>
  <c r="Z71" i="9"/>
  <c r="R71" i="9"/>
  <c r="AB71" i="9"/>
  <c r="AM71" i="9"/>
  <c r="W71" i="9"/>
  <c r="AJ71" i="9"/>
  <c r="T71" i="9"/>
  <c r="AE71" i="9"/>
  <c r="AO109" i="9"/>
  <c r="AG109" i="9"/>
  <c r="Y109" i="9"/>
  <c r="AN109" i="9"/>
  <c r="AF109" i="9"/>
  <c r="X109" i="9"/>
  <c r="AI109" i="9"/>
  <c r="AA109" i="9"/>
  <c r="S109" i="9"/>
  <c r="AH109" i="9"/>
  <c r="Z109" i="9"/>
  <c r="R109" i="9"/>
  <c r="AJ109" i="9"/>
  <c r="T109" i="9"/>
  <c r="AE109" i="9"/>
  <c r="AD109" i="9"/>
  <c r="AB109" i="9"/>
  <c r="AM109" i="9"/>
  <c r="W109" i="9"/>
  <c r="U75" i="9"/>
  <c r="AE75" i="9"/>
  <c r="Z75" i="9"/>
  <c r="AM75" i="9"/>
  <c r="W75" i="9"/>
  <c r="AH75" i="9"/>
  <c r="R112" i="9"/>
  <c r="S32" i="9"/>
  <c r="AB33" i="9"/>
  <c r="AK34" i="9"/>
  <c r="W44" i="9"/>
  <c r="AF64" i="9"/>
  <c r="AO75" i="9"/>
  <c r="AA98" i="9"/>
  <c r="AJ106" i="9"/>
  <c r="V116" i="9"/>
  <c r="AD4" i="9"/>
  <c r="AL40" i="9"/>
  <c r="V55" i="9"/>
  <c r="AD70" i="9"/>
  <c r="AL89" i="9"/>
  <c r="V111" i="9"/>
  <c r="AD51" i="9"/>
  <c r="AL71" i="9"/>
  <c r="AC104" i="9"/>
  <c r="U110" i="9"/>
  <c r="AK44" i="9"/>
  <c r="AH106" i="9"/>
  <c r="AJ89" i="9"/>
  <c r="AB70" i="9"/>
  <c r="R116" i="9"/>
  <c r="Z32" i="9"/>
  <c r="AI33" i="9"/>
  <c r="U43" i="9"/>
  <c r="AD44" i="9"/>
  <c r="AM64" i="9"/>
  <c r="Y78" i="9"/>
  <c r="AH98" i="9"/>
  <c r="T112" i="9"/>
  <c r="AC116" i="9"/>
  <c r="AK4" i="9"/>
  <c r="U54" i="9"/>
  <c r="AC55" i="9"/>
  <c r="AK70" i="9"/>
  <c r="U103" i="9"/>
  <c r="AC111" i="9"/>
  <c r="AK51" i="9"/>
  <c r="U87" i="9"/>
  <c r="AD104" i="9"/>
  <c r="AC110" i="9"/>
  <c r="AE4" i="9"/>
  <c r="AE51" i="9"/>
  <c r="S15" i="9"/>
  <c r="AA32" i="9"/>
  <c r="AJ33" i="9"/>
  <c r="AE44" i="9"/>
  <c r="AN64" i="9"/>
  <c r="Z78" i="9"/>
  <c r="U112" i="9"/>
  <c r="AD116" i="9"/>
  <c r="AL4" i="9"/>
  <c r="V54" i="9"/>
  <c r="AD55" i="9"/>
  <c r="V103" i="9"/>
  <c r="AL51" i="9"/>
  <c r="V87" i="9"/>
  <c r="AD110" i="9"/>
  <c r="AC40" i="9"/>
  <c r="AO43" i="9"/>
  <c r="AG43" i="9"/>
  <c r="Y43" i="9"/>
  <c r="AN43" i="9"/>
  <c r="AF43" i="9"/>
  <c r="X43" i="9"/>
  <c r="AI43" i="9"/>
  <c r="AA43" i="9"/>
  <c r="S43" i="9"/>
  <c r="AH43" i="9"/>
  <c r="Z43" i="9"/>
  <c r="AJ43" i="9"/>
  <c r="T43" i="9"/>
  <c r="AE43" i="9"/>
  <c r="AB43" i="9"/>
  <c r="AM43" i="9"/>
  <c r="W43" i="9"/>
  <c r="AL98" i="9"/>
  <c r="AD98" i="9"/>
  <c r="V98" i="9"/>
  <c r="AK98" i="9"/>
  <c r="AC98" i="9"/>
  <c r="U98" i="9"/>
  <c r="AN98" i="9"/>
  <c r="AF98" i="9"/>
  <c r="X98" i="9"/>
  <c r="R98" i="9"/>
  <c r="AM98" i="9"/>
  <c r="AE98" i="9"/>
  <c r="W98" i="9"/>
  <c r="AG98" i="9"/>
  <c r="AB98" i="9"/>
  <c r="AO98" i="9"/>
  <c r="Y98" i="9"/>
  <c r="AJ98" i="9"/>
  <c r="T98" i="9"/>
  <c r="AO55" i="9"/>
  <c r="AG55" i="9"/>
  <c r="Y55" i="9"/>
  <c r="AN55" i="9"/>
  <c r="AF55" i="9"/>
  <c r="X55" i="9"/>
  <c r="AI55" i="9"/>
  <c r="AA55" i="9"/>
  <c r="S55" i="9"/>
  <c r="AH55" i="9"/>
  <c r="Z55" i="9"/>
  <c r="R55" i="9"/>
  <c r="AB55" i="9"/>
  <c r="AM55" i="9"/>
  <c r="W55" i="9"/>
  <c r="AJ55" i="9"/>
  <c r="T55" i="9"/>
  <c r="AE55" i="9"/>
  <c r="AB111" i="9"/>
  <c r="AM111" i="9"/>
  <c r="W111" i="9"/>
  <c r="AJ111" i="9"/>
  <c r="T111" i="9"/>
  <c r="AE111" i="9"/>
  <c r="AO104" i="9"/>
  <c r="AG104" i="9"/>
  <c r="Y104" i="9"/>
  <c r="AN104" i="9"/>
  <c r="AF104" i="9"/>
  <c r="X104" i="9"/>
  <c r="AI104" i="9"/>
  <c r="AA104" i="9"/>
  <c r="S104" i="9"/>
  <c r="AH104" i="9"/>
  <c r="Z104" i="9"/>
  <c r="R104" i="9"/>
  <c r="AB104" i="9"/>
  <c r="AM104" i="9"/>
  <c r="W104" i="9"/>
  <c r="AL104" i="9"/>
  <c r="V104" i="9"/>
  <c r="AJ104" i="9"/>
  <c r="T104" i="9"/>
  <c r="AE104" i="9"/>
  <c r="AE118" i="9"/>
  <c r="AM118" i="9"/>
  <c r="W118" i="9"/>
  <c r="AL118" i="9"/>
  <c r="T118" i="9"/>
  <c r="AK118" i="9"/>
  <c r="AJ118" i="9"/>
  <c r="AC118" i="9"/>
  <c r="AB118" i="9"/>
  <c r="AM70" i="9"/>
  <c r="W70" i="9"/>
  <c r="AB112" i="9"/>
  <c r="U40" i="9"/>
  <c r="AC103" i="9"/>
  <c r="AK111" i="9"/>
  <c r="AC87" i="9"/>
  <c r="AO111" i="9"/>
  <c r="U34" i="9"/>
  <c r="AM44" i="9"/>
  <c r="Y75" i="9"/>
  <c r="T106" i="9"/>
  <c r="AL116" i="9"/>
  <c r="AD54" i="9"/>
  <c r="AL55" i="9"/>
  <c r="V89" i="9"/>
  <c r="AL111" i="9"/>
  <c r="AD87" i="9"/>
  <c r="V109" i="9"/>
  <c r="AK78" i="9"/>
  <c r="AO87" i="9"/>
  <c r="AG15" i="9"/>
  <c r="W64" i="9"/>
  <c r="AF75" i="9"/>
  <c r="AA106" i="9"/>
  <c r="U4" i="9"/>
  <c r="U70" i="9"/>
  <c r="AK103" i="9"/>
  <c r="AC71" i="9"/>
  <c r="U118" i="9"/>
  <c r="R34" i="9"/>
  <c r="AH15" i="9"/>
  <c r="T33" i="9"/>
  <c r="AC34" i="9"/>
  <c r="AL43" i="9"/>
  <c r="AG75" i="9"/>
  <c r="S98" i="9"/>
  <c r="AB106" i="9"/>
  <c r="V4" i="9"/>
  <c r="AD40" i="9"/>
  <c r="V70" i="9"/>
  <c r="AD89" i="9"/>
  <c r="V51" i="9"/>
  <c r="AD71" i="9"/>
  <c r="AK109" i="9"/>
  <c r="V118" i="9"/>
  <c r="AL32" i="9"/>
  <c r="AD32" i="9"/>
  <c r="V32" i="9"/>
  <c r="AK32" i="9"/>
  <c r="AC32" i="9"/>
  <c r="U32" i="9"/>
  <c r="AN32" i="9"/>
  <c r="AF32" i="9"/>
  <c r="X32" i="9"/>
  <c r="R32" i="9"/>
  <c r="AM32" i="9"/>
  <c r="AE32" i="9"/>
  <c r="W32" i="9"/>
  <c r="AO32" i="9"/>
  <c r="Y32" i="9"/>
  <c r="AJ32" i="9"/>
  <c r="T32" i="9"/>
  <c r="AG32" i="9"/>
  <c r="AB32" i="9"/>
  <c r="AL64" i="9"/>
  <c r="V64" i="9"/>
  <c r="AG64" i="9"/>
  <c r="AD64" i="9"/>
  <c r="AO64" i="9"/>
  <c r="Y64" i="9"/>
  <c r="AI112" i="9"/>
  <c r="S112" i="9"/>
  <c r="AD112" i="9"/>
  <c r="AA112" i="9"/>
  <c r="AL112" i="9"/>
  <c r="V112" i="9"/>
  <c r="AJ54" i="9"/>
  <c r="T54" i="9"/>
  <c r="AE54" i="9"/>
  <c r="AB54" i="9"/>
  <c r="AM54" i="9"/>
  <c r="W54" i="9"/>
  <c r="AJ103" i="9"/>
  <c r="T103" i="9"/>
  <c r="AE103" i="9"/>
  <c r="AB103" i="9"/>
  <c r="AM103" i="9"/>
  <c r="W103" i="9"/>
  <c r="AJ87" i="9"/>
  <c r="T87" i="9"/>
  <c r="AE87" i="9"/>
  <c r="AB87" i="9"/>
  <c r="AM87" i="9"/>
  <c r="W87" i="9"/>
  <c r="AB110" i="9"/>
  <c r="V110" i="9"/>
  <c r="AM110" i="9"/>
  <c r="W110" i="9"/>
  <c r="AJ110" i="9"/>
  <c r="T110" i="9"/>
  <c r="AE110" i="9"/>
  <c r="Y15" i="9"/>
  <c r="T34" i="9"/>
  <c r="AC43" i="9"/>
  <c r="AL44" i="9"/>
  <c r="AG78" i="9"/>
  <c r="S106" i="9"/>
  <c r="AK116" i="9"/>
  <c r="AC54" i="9"/>
  <c r="AO116" i="9"/>
  <c r="AO118" i="9"/>
  <c r="Z15" i="9"/>
  <c r="AI32" i="9"/>
  <c r="AD43" i="9"/>
  <c r="AH78" i="9"/>
  <c r="AC112" i="9"/>
  <c r="V40" i="9"/>
  <c r="AD103" i="9"/>
  <c r="V71" i="9"/>
  <c r="AL110" i="9"/>
  <c r="AN34" i="9"/>
  <c r="AO54" i="9"/>
  <c r="S33" i="9"/>
  <c r="AB34" i="9"/>
  <c r="AK43" i="9"/>
  <c r="AO78" i="9"/>
  <c r="AJ112" i="9"/>
  <c r="AK54" i="9"/>
  <c r="AC89" i="9"/>
  <c r="U51" i="9"/>
  <c r="AK87" i="9"/>
  <c r="AC109" i="9"/>
  <c r="AI64" i="9"/>
  <c r="AO103" i="9"/>
  <c r="AJ75" i="9"/>
  <c r="R43" i="9"/>
  <c r="AO15" i="9"/>
  <c r="AA33" i="9"/>
  <c r="AJ34" i="9"/>
  <c r="V44" i="9"/>
  <c r="AE64" i="9"/>
  <c r="AN75" i="9"/>
  <c r="Z98" i="9"/>
  <c r="AI106" i="9"/>
  <c r="U116" i="9"/>
  <c r="AC4" i="9"/>
  <c r="AK40" i="9"/>
  <c r="U55" i="9"/>
  <c r="AC70" i="9"/>
  <c r="AK89" i="9"/>
  <c r="U111" i="9"/>
  <c r="AC51" i="9"/>
  <c r="AK71" i="9"/>
  <c r="U104" i="9"/>
  <c r="AL109" i="9"/>
  <c r="AD118" i="9"/>
  <c r="AK15" i="9"/>
  <c r="AN112" i="9"/>
  <c r="AO110" i="9"/>
  <c r="U44" i="9"/>
  <c r="AB4" i="9"/>
  <c r="T89" i="9"/>
  <c r="AB51" i="9"/>
  <c r="AH44" i="9"/>
  <c r="Z44" i="9"/>
  <c r="AO44" i="9"/>
  <c r="AG44" i="9"/>
  <c r="Y44" i="9"/>
  <c r="AJ44" i="9"/>
  <c r="AB44" i="9"/>
  <c r="T44" i="9"/>
  <c r="AI44" i="9"/>
  <c r="AA44" i="9"/>
  <c r="S44" i="9"/>
  <c r="AM106" i="9"/>
  <c r="AE106" i="9"/>
  <c r="W106" i="9"/>
  <c r="AL106" i="9"/>
  <c r="AD106" i="9"/>
  <c r="V106" i="9"/>
  <c r="AO106" i="9"/>
  <c r="AG106" i="9"/>
  <c r="Y106" i="9"/>
  <c r="AN106" i="9"/>
  <c r="AF106" i="9"/>
  <c r="X106" i="9"/>
  <c r="AO89" i="9"/>
  <c r="AG89" i="9"/>
  <c r="Y89" i="9"/>
  <c r="AN89" i="9"/>
  <c r="AF89" i="9"/>
  <c r="X89" i="9"/>
  <c r="AI89" i="9"/>
  <c r="AA89" i="9"/>
  <c r="S89" i="9"/>
  <c r="AH89" i="9"/>
  <c r="Z89" i="9"/>
  <c r="R89" i="9"/>
  <c r="AO70" i="9"/>
  <c r="AG70" i="9"/>
  <c r="Y70" i="9"/>
  <c r="AN70" i="9"/>
  <c r="AF70" i="9"/>
  <c r="X70" i="9"/>
  <c r="AI70" i="9"/>
  <c r="AA70" i="9"/>
  <c r="S70" i="9"/>
  <c r="AH70" i="9"/>
  <c r="Z70" i="9"/>
  <c r="R70" i="9"/>
  <c r="R44" i="9"/>
  <c r="X44" i="9"/>
  <c r="AN44" i="9"/>
  <c r="U106" i="9"/>
  <c r="AK106" i="9"/>
  <c r="AE70" i="9"/>
  <c r="W89" i="9"/>
  <c r="AM89" i="9"/>
  <c r="AO4" i="9"/>
  <c r="AG4" i="9"/>
  <c r="Y4" i="9"/>
  <c r="AN4" i="9"/>
  <c r="AF4" i="9"/>
  <c r="X4" i="9"/>
  <c r="AI4" i="9"/>
  <c r="AA4" i="9"/>
  <c r="S4" i="9"/>
  <c r="AH4" i="9"/>
  <c r="Z4" i="9"/>
  <c r="R4" i="9"/>
  <c r="AO51" i="9"/>
  <c r="AG51" i="9"/>
  <c r="Y51" i="9"/>
  <c r="AN51" i="9"/>
  <c r="AF51" i="9"/>
  <c r="X51" i="9"/>
  <c r="AI51" i="9"/>
  <c r="AA51" i="9"/>
  <c r="S51" i="9"/>
  <c r="AH51" i="9"/>
  <c r="Z51" i="9"/>
  <c r="R51" i="9"/>
  <c r="R106" i="9"/>
  <c r="AC44" i="9"/>
  <c r="Z106" i="9"/>
  <c r="T4" i="9"/>
  <c r="AJ4" i="9"/>
  <c r="T70" i="9"/>
  <c r="AJ70" i="9"/>
  <c r="AB89" i="9"/>
  <c r="T51" i="9"/>
  <c r="AJ51" i="9"/>
  <c r="R15" i="9"/>
  <c r="R78" i="9"/>
  <c r="V15" i="9"/>
  <c r="AD15" i="9"/>
  <c r="AL15" i="9"/>
  <c r="Y34" i="9"/>
  <c r="AG34" i="9"/>
  <c r="AO34" i="9"/>
  <c r="T64" i="9"/>
  <c r="AB64" i="9"/>
  <c r="AJ64" i="9"/>
  <c r="AC75" i="9"/>
  <c r="AK75" i="9"/>
  <c r="V78" i="9"/>
  <c r="AD78" i="9"/>
  <c r="AL78" i="9"/>
  <c r="Y112" i="9"/>
  <c r="AG112" i="9"/>
  <c r="AO112" i="9"/>
  <c r="Z116" i="9"/>
  <c r="AH116" i="9"/>
  <c r="R54" i="9"/>
  <c r="Z54" i="9"/>
  <c r="AH54" i="9"/>
  <c r="R103" i="9"/>
  <c r="Z103" i="9"/>
  <c r="AH103" i="9"/>
  <c r="R111" i="9"/>
  <c r="Z111" i="9"/>
  <c r="AH111" i="9"/>
  <c r="R87" i="9"/>
  <c r="Z87" i="9"/>
  <c r="AH87" i="9"/>
  <c r="R110" i="9"/>
  <c r="Z110" i="9"/>
  <c r="AH110" i="9"/>
  <c r="R118" i="9"/>
  <c r="Z118" i="9"/>
  <c r="AH118" i="9"/>
  <c r="W15" i="9"/>
  <c r="AE15" i="9"/>
  <c r="AM15" i="9"/>
  <c r="Z34" i="9"/>
  <c r="AH34" i="9"/>
  <c r="U64" i="9"/>
  <c r="AC64" i="9"/>
  <c r="AK64" i="9"/>
  <c r="V75" i="9"/>
  <c r="AD75" i="9"/>
  <c r="AL75" i="9"/>
  <c r="W78" i="9"/>
  <c r="AE78" i="9"/>
  <c r="AM78" i="9"/>
  <c r="Z112" i="9"/>
  <c r="AH112" i="9"/>
  <c r="S116" i="9"/>
  <c r="AA116" i="9"/>
  <c r="AI116" i="9"/>
  <c r="S54" i="9"/>
  <c r="AA54" i="9"/>
  <c r="AI54" i="9"/>
  <c r="S103" i="9"/>
  <c r="AA103" i="9"/>
  <c r="AI103" i="9"/>
  <c r="S111" i="9"/>
  <c r="AA111" i="9"/>
  <c r="AI111" i="9"/>
  <c r="S87" i="9"/>
  <c r="AA87" i="9"/>
  <c r="AI87" i="9"/>
  <c r="S110" i="9"/>
  <c r="AA110" i="9"/>
  <c r="AI110" i="9"/>
  <c r="S118" i="9"/>
  <c r="AA118" i="9"/>
  <c r="AI118" i="9"/>
  <c r="R64" i="9"/>
  <c r="T15" i="9"/>
  <c r="AB15" i="9"/>
  <c r="AJ15" i="9"/>
  <c r="W34" i="9"/>
  <c r="AE34" i="9"/>
  <c r="AM34" i="9"/>
  <c r="Z64" i="9"/>
  <c r="AH64" i="9"/>
  <c r="S75" i="9"/>
  <c r="AA75" i="9"/>
  <c r="AI75" i="9"/>
  <c r="T78" i="9"/>
  <c r="AB78" i="9"/>
  <c r="AJ78" i="9"/>
  <c r="W112" i="9"/>
  <c r="AE112" i="9"/>
  <c r="AM112" i="9"/>
  <c r="X116" i="9"/>
  <c r="AF116" i="9"/>
  <c r="AN116" i="9"/>
  <c r="X54" i="9"/>
  <c r="AF54" i="9"/>
  <c r="AN54" i="9"/>
  <c r="X103" i="9"/>
  <c r="AF103" i="9"/>
  <c r="AN103" i="9"/>
  <c r="X111" i="9"/>
  <c r="AF111" i="9"/>
  <c r="AN111" i="9"/>
  <c r="X87" i="9"/>
  <c r="AF87" i="9"/>
  <c r="AN87" i="9"/>
  <c r="X110" i="9"/>
  <c r="AF110" i="9"/>
  <c r="AN110" i="9"/>
  <c r="X118" i="9"/>
  <c r="AF118" i="9"/>
  <c r="AN118" i="9"/>
  <c r="R75" i="9"/>
  <c r="U15" i="9"/>
  <c r="AC15" i="9"/>
  <c r="X34" i="9"/>
  <c r="AF34" i="9"/>
  <c r="S64" i="9"/>
  <c r="AA64" i="9"/>
  <c r="T75" i="9"/>
  <c r="AB75" i="9"/>
  <c r="U78" i="9"/>
  <c r="AC78" i="9"/>
  <c r="X112" i="9"/>
  <c r="AF112" i="9"/>
  <c r="Y116" i="9"/>
  <c r="AG116" i="9"/>
  <c r="Y54" i="9"/>
  <c r="AG54" i="9"/>
  <c r="Y103" i="9"/>
  <c r="AG103" i="9"/>
  <c r="Y111" i="9"/>
  <c r="AG111" i="9"/>
  <c r="Y87" i="9"/>
  <c r="AG87" i="9"/>
  <c r="Y110" i="9"/>
  <c r="AG110" i="9"/>
  <c r="Y118" i="9"/>
  <c r="AG118" i="9"/>
  <c r="G109" i="16"/>
  <c r="G108" i="16"/>
  <c r="G22" i="16"/>
  <c r="D35" i="1" l="1"/>
  <c r="D34" i="1"/>
  <c r="D33" i="1"/>
  <c r="D32" i="1"/>
  <c r="BI17" i="1" l="1"/>
  <c r="BI16" i="1"/>
  <c r="BI14" i="1"/>
  <c r="AF40" i="2" l="1"/>
  <c r="AF38" i="2"/>
  <c r="Q43" i="2" l="1"/>
  <c r="BM12" i="2"/>
  <c r="BM11" i="2"/>
  <c r="BM10" i="2"/>
  <c r="BM9" i="2"/>
  <c r="BM8" i="2"/>
  <c r="BM7" i="2"/>
  <c r="BM6" i="2"/>
  <c r="BM5" i="2"/>
  <c r="BM4" i="2"/>
  <c r="E23" i="2"/>
  <c r="E29" i="2"/>
  <c r="BP40" i="2"/>
  <c r="Q28" i="2"/>
  <c r="Q29" i="2"/>
  <c r="Q30" i="2"/>
  <c r="Q31" i="2"/>
  <c r="Q32" i="2"/>
  <c r="Q33" i="2"/>
  <c r="Q22" i="2"/>
  <c r="Q21" i="2"/>
  <c r="Q20" i="2"/>
  <c r="Q19" i="2"/>
  <c r="U33" i="2" l="1"/>
  <c r="GR27" i="4"/>
  <c r="GR23" i="4"/>
  <c r="GR19" i="4"/>
  <c r="GR15" i="4"/>
  <c r="GR11" i="4"/>
  <c r="GR7" i="4"/>
  <c r="GR28" i="4"/>
  <c r="GR24" i="4"/>
  <c r="GR20" i="4"/>
  <c r="GR16" i="4"/>
  <c r="GR12" i="4"/>
  <c r="GR8" i="4"/>
  <c r="GR29" i="4"/>
  <c r="GR25" i="4"/>
  <c r="GR21" i="4"/>
  <c r="GR17" i="4"/>
  <c r="GR13" i="4"/>
  <c r="GR9" i="4"/>
  <c r="GR30" i="4"/>
  <c r="GR26" i="4"/>
  <c r="GR22" i="4"/>
  <c r="GR18" i="4"/>
  <c r="GR14" i="4"/>
  <c r="GR10" i="4"/>
  <c r="U29" i="2"/>
  <c r="GN29" i="4"/>
  <c r="GN25" i="4"/>
  <c r="GN21" i="4"/>
  <c r="GN17" i="4"/>
  <c r="GN13" i="4"/>
  <c r="GN9" i="4"/>
  <c r="GN30" i="4"/>
  <c r="GN26" i="4"/>
  <c r="GN22" i="4"/>
  <c r="GN18" i="4"/>
  <c r="GN14" i="4"/>
  <c r="GN10" i="4"/>
  <c r="GN27" i="4"/>
  <c r="GN23" i="4"/>
  <c r="GN19" i="4"/>
  <c r="GN15" i="4"/>
  <c r="GN11" i="4"/>
  <c r="GN7" i="4"/>
  <c r="GN28" i="4"/>
  <c r="GN24" i="4"/>
  <c r="GN20" i="4"/>
  <c r="GN16" i="4"/>
  <c r="GN12" i="4"/>
  <c r="GN8" i="4"/>
  <c r="U32" i="2"/>
  <c r="GQ8" i="4"/>
  <c r="GQ27" i="4"/>
  <c r="GQ23" i="4"/>
  <c r="GQ19" i="4"/>
  <c r="GQ15" i="4"/>
  <c r="GQ11" i="4"/>
  <c r="GQ7" i="4"/>
  <c r="GQ24" i="4"/>
  <c r="GQ22" i="4"/>
  <c r="GQ14" i="4"/>
  <c r="GQ28" i="4"/>
  <c r="GQ20" i="4"/>
  <c r="GQ16" i="4"/>
  <c r="GQ12" i="4"/>
  <c r="GQ30" i="4"/>
  <c r="GQ26" i="4"/>
  <c r="GQ18" i="4"/>
  <c r="GQ10" i="4"/>
  <c r="GQ29" i="4"/>
  <c r="GQ25" i="4"/>
  <c r="GQ21" i="4"/>
  <c r="GQ17" i="4"/>
  <c r="GQ13" i="4"/>
  <c r="GQ9" i="4"/>
  <c r="U30" i="2"/>
  <c r="GO15" i="4"/>
  <c r="GO11" i="4"/>
  <c r="GO21" i="4"/>
  <c r="GO30" i="4"/>
  <c r="GO26" i="4"/>
  <c r="GO22" i="4"/>
  <c r="GO18" i="4"/>
  <c r="GO14" i="4"/>
  <c r="GO10" i="4"/>
  <c r="GO7" i="4"/>
  <c r="GO29" i="4"/>
  <c r="GO25" i="4"/>
  <c r="GO17" i="4"/>
  <c r="GO9" i="4"/>
  <c r="GO27" i="4"/>
  <c r="GO23" i="4"/>
  <c r="GO19" i="4"/>
  <c r="GO28" i="4"/>
  <c r="GO24" i="4"/>
  <c r="GO20" i="4"/>
  <c r="GO16" i="4"/>
  <c r="GO12" i="4"/>
  <c r="GO8" i="4"/>
  <c r="GO13" i="4"/>
  <c r="U28" i="2"/>
  <c r="GM22" i="4"/>
  <c r="GM12" i="4"/>
  <c r="GM29" i="4"/>
  <c r="GM25" i="4"/>
  <c r="GM21" i="4"/>
  <c r="GM17" i="4"/>
  <c r="GM13" i="4"/>
  <c r="GM9" i="4"/>
  <c r="GM18" i="4"/>
  <c r="GM14" i="4"/>
  <c r="GM30" i="4"/>
  <c r="GL30" i="4" s="1"/>
  <c r="GM26" i="4"/>
  <c r="GM10" i="4"/>
  <c r="GM24" i="4"/>
  <c r="GM16" i="4"/>
  <c r="GM27" i="4"/>
  <c r="GM23" i="4"/>
  <c r="GM19" i="4"/>
  <c r="GM15" i="4"/>
  <c r="GM11" i="4"/>
  <c r="GM7" i="4"/>
  <c r="GM28" i="4"/>
  <c r="GM20" i="4"/>
  <c r="GM8" i="4"/>
  <c r="U31" i="2"/>
  <c r="GP30" i="4"/>
  <c r="GP26" i="4"/>
  <c r="GP22" i="4"/>
  <c r="GP18" i="4"/>
  <c r="GP14" i="4"/>
  <c r="GP10" i="4"/>
  <c r="GP27" i="4"/>
  <c r="GP23" i="4"/>
  <c r="GP19" i="4"/>
  <c r="GP15" i="4"/>
  <c r="GP11" i="4"/>
  <c r="GP7" i="4"/>
  <c r="GP28" i="4"/>
  <c r="GP24" i="4"/>
  <c r="GP20" i="4"/>
  <c r="GP16" i="4"/>
  <c r="GP12" i="4"/>
  <c r="GP8" i="4"/>
  <c r="GP29" i="4"/>
  <c r="GP25" i="4"/>
  <c r="GP21" i="4"/>
  <c r="GP17" i="4"/>
  <c r="GP13" i="4"/>
  <c r="GP9" i="4"/>
  <c r="AH14" i="2"/>
  <c r="AH7" i="2"/>
  <c r="AH15" i="2"/>
  <c r="AH23" i="2"/>
  <c r="AH8" i="2"/>
  <c r="AH16" i="2"/>
  <c r="AH24" i="2"/>
  <c r="AH32" i="2"/>
  <c r="AH9" i="2"/>
  <c r="AH17" i="2"/>
  <c r="AH25" i="2"/>
  <c r="AH33" i="2"/>
  <c r="AH10" i="2"/>
  <c r="AH18" i="2"/>
  <c r="AH26" i="2"/>
  <c r="AH11" i="2"/>
  <c r="AH19" i="2"/>
  <c r="AH27" i="2"/>
  <c r="AH4" i="2"/>
  <c r="AH12" i="2"/>
  <c r="AH20" i="2"/>
  <c r="AH28" i="2"/>
  <c r="AH5" i="2"/>
  <c r="AH13" i="2"/>
  <c r="AH21" i="2"/>
  <c r="AH29" i="2"/>
  <c r="AH22" i="2"/>
  <c r="AH6" i="2"/>
  <c r="AH30" i="2"/>
  <c r="AH31" i="2"/>
  <c r="GL29" i="4" l="1"/>
  <c r="GL22" i="4"/>
  <c r="GL12" i="4"/>
  <c r="GL8" i="4"/>
  <c r="GL27" i="4"/>
  <c r="GL9" i="4"/>
  <c r="GL15" i="4"/>
  <c r="GL14" i="4"/>
  <c r="GL23" i="4"/>
  <c r="GL20" i="4"/>
  <c r="GL13" i="4"/>
  <c r="GL28" i="4"/>
  <c r="GL24" i="4"/>
  <c r="GL17" i="4"/>
  <c r="GL19" i="4"/>
  <c r="GL18" i="4"/>
  <c r="GL7" i="4"/>
  <c r="GL10" i="4"/>
  <c r="GL21" i="4"/>
  <c r="GL16" i="4"/>
  <c r="GL11" i="4"/>
  <c r="GL26" i="4"/>
  <c r="GL25" i="4"/>
  <c r="K8" i="4"/>
  <c r="EN50" i="4" l="1"/>
  <c r="EM50" i="4"/>
  <c r="EL50" i="4"/>
  <c r="EK50" i="4"/>
  <c r="EJ50" i="4"/>
  <c r="EI50" i="4"/>
  <c r="EH50" i="4"/>
  <c r="EG50" i="4"/>
  <c r="EF50" i="4"/>
  <c r="EE50" i="4"/>
  <c r="ED50" i="4"/>
  <c r="ED46" i="4"/>
  <c r="EN40" i="4"/>
  <c r="EM40" i="4"/>
  <c r="EL40" i="4"/>
  <c r="EK40" i="4"/>
  <c r="EJ40" i="4"/>
  <c r="EI40" i="4"/>
  <c r="EH40" i="4"/>
  <c r="EG40" i="4"/>
  <c r="EF40" i="4"/>
  <c r="EN44" i="4"/>
  <c r="EM44" i="4"/>
  <c r="EL44" i="4"/>
  <c r="EK44" i="4"/>
  <c r="EJ44" i="4"/>
  <c r="EI44" i="4"/>
  <c r="EH44" i="4"/>
  <c r="EG44" i="4"/>
  <c r="EF44" i="4"/>
  <c r="EE44" i="4"/>
  <c r="ED44" i="4"/>
  <c r="ED40" i="4"/>
  <c r="EN46" i="4"/>
  <c r="EM46" i="4"/>
  <c r="EL46" i="4"/>
  <c r="EK46" i="4"/>
  <c r="EJ46" i="4"/>
  <c r="EI46" i="4"/>
  <c r="EH46" i="4"/>
  <c r="EG46" i="4"/>
  <c r="EF46" i="4"/>
  <c r="EE46" i="4"/>
  <c r="EN42" i="4"/>
  <c r="EM42" i="4"/>
  <c r="EL42" i="4"/>
  <c r="EK42" i="4"/>
  <c r="EJ42" i="4"/>
  <c r="EI42" i="4"/>
  <c r="EH42" i="4"/>
  <c r="EG42" i="4"/>
  <c r="EF42" i="4"/>
  <c r="EE42" i="4"/>
  <c r="ED42" i="4"/>
  <c r="AE35" i="4"/>
  <c r="X38" i="4"/>
  <c r="W38" i="4"/>
  <c r="V38" i="4"/>
  <c r="U38" i="4"/>
  <c r="T38" i="4"/>
  <c r="X37" i="4"/>
  <c r="W37" i="4"/>
  <c r="V37" i="4"/>
  <c r="U37" i="4"/>
  <c r="T37" i="4"/>
  <c r="X36" i="4"/>
  <c r="W36" i="4"/>
  <c r="V36" i="4"/>
  <c r="U36" i="4"/>
  <c r="T36" i="4"/>
  <c r="X35" i="4"/>
  <c r="W35" i="4"/>
  <c r="V35" i="4"/>
  <c r="U35" i="4"/>
  <c r="T35" i="4"/>
  <c r="X34" i="4"/>
  <c r="W34" i="4"/>
  <c r="V34" i="4"/>
  <c r="U34" i="4"/>
  <c r="T34" i="4"/>
  <c r="X33" i="4"/>
  <c r="W33" i="4"/>
  <c r="V33" i="4"/>
  <c r="U33" i="4"/>
  <c r="T33" i="4"/>
  <c r="X32" i="4"/>
  <c r="W32" i="4"/>
  <c r="V32" i="4"/>
  <c r="U32" i="4"/>
  <c r="T32" i="4"/>
  <c r="X31" i="4"/>
  <c r="W31" i="4"/>
  <c r="V31" i="4"/>
  <c r="U31" i="4"/>
  <c r="T31" i="4"/>
  <c r="X30" i="4"/>
  <c r="W30" i="4"/>
  <c r="V30" i="4"/>
  <c r="U30" i="4"/>
  <c r="T30" i="4"/>
  <c r="X29" i="4"/>
  <c r="W29" i="4"/>
  <c r="V29" i="4"/>
  <c r="U29" i="4"/>
  <c r="T29" i="4"/>
  <c r="X28" i="4"/>
  <c r="W28" i="4"/>
  <c r="V28" i="4"/>
  <c r="U28" i="4"/>
  <c r="T28" i="4"/>
  <c r="X27" i="4"/>
  <c r="W27" i="4"/>
  <c r="V27" i="4"/>
  <c r="U27" i="4"/>
  <c r="T27" i="4"/>
  <c r="X26" i="4"/>
  <c r="W26" i="4"/>
  <c r="V26" i="4"/>
  <c r="U26" i="4"/>
  <c r="T26" i="4"/>
  <c r="X25" i="4"/>
  <c r="W25" i="4"/>
  <c r="V25" i="4"/>
  <c r="U25" i="4"/>
  <c r="T25" i="4"/>
  <c r="X24" i="4"/>
  <c r="W24" i="4"/>
  <c r="V24" i="4"/>
  <c r="U24" i="4"/>
  <c r="T24" i="4"/>
  <c r="X23" i="4"/>
  <c r="W23" i="4"/>
  <c r="V23" i="4"/>
  <c r="U23" i="4"/>
  <c r="T23" i="4"/>
  <c r="X22" i="4"/>
  <c r="W22" i="4"/>
  <c r="U22" i="4"/>
  <c r="T22" i="4"/>
  <c r="X21" i="4"/>
  <c r="W21" i="4"/>
  <c r="V21" i="4"/>
  <c r="U21" i="4"/>
  <c r="T21" i="4"/>
  <c r="X20" i="4"/>
  <c r="W20" i="4"/>
  <c r="V20" i="4"/>
  <c r="U20" i="4"/>
  <c r="T20" i="4"/>
  <c r="U19" i="4"/>
  <c r="T19" i="4"/>
  <c r="X18" i="4"/>
  <c r="W18" i="4"/>
  <c r="V18" i="4"/>
  <c r="U18" i="4"/>
  <c r="T18" i="4"/>
  <c r="X17" i="4"/>
  <c r="W17" i="4"/>
  <c r="V17" i="4"/>
  <c r="T17" i="4"/>
  <c r="X16" i="4"/>
  <c r="W16" i="4"/>
  <c r="V16" i="4"/>
  <c r="U16" i="4"/>
  <c r="T16" i="4"/>
  <c r="X15" i="4"/>
  <c r="W15" i="4"/>
  <c r="V15" i="4"/>
  <c r="U15" i="4"/>
  <c r="T15" i="4"/>
  <c r="X14" i="4"/>
  <c r="W14" i="4"/>
  <c r="V14" i="4"/>
  <c r="U14" i="4"/>
  <c r="T14" i="4"/>
  <c r="X13" i="4"/>
  <c r="W13" i="4"/>
  <c r="V13" i="4"/>
  <c r="U13" i="4"/>
  <c r="T13" i="4"/>
  <c r="X12" i="4"/>
  <c r="W12" i="4"/>
  <c r="V12" i="4"/>
  <c r="U12" i="4"/>
  <c r="T12" i="4"/>
  <c r="X11" i="4"/>
  <c r="W11" i="4"/>
  <c r="U11" i="4"/>
  <c r="T11" i="4"/>
  <c r="X10" i="4"/>
  <c r="W10" i="4"/>
  <c r="X9" i="4"/>
  <c r="W9" i="4"/>
  <c r="V9" i="4"/>
  <c r="U9" i="4"/>
  <c r="X7" i="4"/>
  <c r="W7" i="4"/>
  <c r="V7" i="4"/>
  <c r="U7" i="4"/>
  <c r="X6" i="4"/>
  <c r="W6" i="4"/>
  <c r="V6" i="4"/>
  <c r="U6" i="4"/>
  <c r="X5" i="4"/>
  <c r="W5" i="4"/>
  <c r="V5" i="4"/>
  <c r="U5" i="4"/>
  <c r="X4" i="4"/>
  <c r="W4" i="4"/>
  <c r="V4" i="4"/>
  <c r="U4" i="4"/>
  <c r="O24" i="4"/>
  <c r="N24" i="4"/>
  <c r="M24" i="4"/>
  <c r="L24" i="4"/>
  <c r="K24" i="4"/>
  <c r="J24" i="4"/>
  <c r="I24" i="4"/>
  <c r="H24" i="4"/>
  <c r="G24" i="4"/>
  <c r="F24" i="4"/>
  <c r="O23" i="4"/>
  <c r="N23" i="4"/>
  <c r="M23" i="4"/>
  <c r="L23" i="4"/>
  <c r="K23" i="4"/>
  <c r="J23" i="4"/>
  <c r="I23" i="4"/>
  <c r="H23" i="4"/>
  <c r="G23" i="4"/>
  <c r="F23" i="4"/>
  <c r="O22" i="4"/>
  <c r="N22" i="4"/>
  <c r="M22" i="4"/>
  <c r="L22" i="4"/>
  <c r="K22" i="4"/>
  <c r="J22" i="4"/>
  <c r="I22" i="4"/>
  <c r="H22" i="4"/>
  <c r="G22" i="4"/>
  <c r="F22" i="4"/>
  <c r="O21" i="4"/>
  <c r="N21" i="4"/>
  <c r="M21" i="4"/>
  <c r="L21" i="4"/>
  <c r="K21" i="4"/>
  <c r="J21" i="4"/>
  <c r="I21" i="4"/>
  <c r="H21" i="4"/>
  <c r="G21" i="4"/>
  <c r="F21" i="4"/>
  <c r="O20" i="4"/>
  <c r="N20" i="4"/>
  <c r="M20" i="4"/>
  <c r="L20" i="4"/>
  <c r="K20" i="4"/>
  <c r="J20" i="4"/>
  <c r="I20" i="4"/>
  <c r="H20" i="4"/>
  <c r="G20" i="4"/>
  <c r="F20" i="4"/>
  <c r="O19" i="4"/>
  <c r="N19" i="4"/>
  <c r="M19" i="4"/>
  <c r="L19" i="4"/>
  <c r="K19" i="4"/>
  <c r="J19" i="4"/>
  <c r="I19" i="4"/>
  <c r="H19" i="4"/>
  <c r="G19" i="4"/>
  <c r="F19" i="4"/>
  <c r="O18" i="4"/>
  <c r="N18" i="4"/>
  <c r="M18" i="4"/>
  <c r="L18" i="4"/>
  <c r="K18" i="4"/>
  <c r="J18" i="4"/>
  <c r="I18" i="4"/>
  <c r="H18" i="4"/>
  <c r="G18" i="4"/>
  <c r="F18" i="4"/>
  <c r="O17" i="4"/>
  <c r="N17" i="4"/>
  <c r="M17" i="4"/>
  <c r="L17" i="4"/>
  <c r="K17" i="4"/>
  <c r="J17" i="4"/>
  <c r="I17" i="4"/>
  <c r="H17" i="4"/>
  <c r="G17" i="4"/>
  <c r="F17" i="4"/>
  <c r="O16" i="4"/>
  <c r="N16" i="4"/>
  <c r="M16" i="4"/>
  <c r="L16" i="4"/>
  <c r="K16" i="4"/>
  <c r="J16" i="4"/>
  <c r="I16" i="4"/>
  <c r="H16" i="4"/>
  <c r="G16" i="4"/>
  <c r="F16" i="4"/>
  <c r="E24" i="4"/>
  <c r="E23" i="4"/>
  <c r="E22" i="4"/>
  <c r="E21" i="4"/>
  <c r="E20" i="4"/>
  <c r="E19" i="4"/>
  <c r="E18" i="4"/>
  <c r="E17" i="4"/>
  <c r="E16" i="4"/>
  <c r="O14" i="4"/>
  <c r="N14" i="4"/>
  <c r="M14" i="4"/>
  <c r="L14" i="4"/>
  <c r="K14" i="4"/>
  <c r="J14" i="4"/>
  <c r="I14" i="4"/>
  <c r="H14" i="4"/>
  <c r="G14" i="4"/>
  <c r="O13" i="4"/>
  <c r="N13" i="4"/>
  <c r="M13" i="4"/>
  <c r="L13" i="4"/>
  <c r="K13" i="4"/>
  <c r="J13" i="4"/>
  <c r="I13" i="4"/>
  <c r="H13" i="4"/>
  <c r="G13" i="4"/>
  <c r="O12" i="4"/>
  <c r="N12" i="4"/>
  <c r="M12" i="4"/>
  <c r="L12" i="4"/>
  <c r="K12" i="4"/>
  <c r="J12" i="4"/>
  <c r="I12" i="4"/>
  <c r="H12" i="4"/>
  <c r="G12" i="4"/>
  <c r="O11" i="4"/>
  <c r="N11" i="4"/>
  <c r="M11" i="4"/>
  <c r="L11" i="4"/>
  <c r="K11" i="4"/>
  <c r="J11" i="4"/>
  <c r="G11" i="4"/>
  <c r="O10" i="4"/>
  <c r="N10" i="4"/>
  <c r="M10" i="4"/>
  <c r="L10" i="4"/>
  <c r="K10" i="4"/>
  <c r="J10" i="4"/>
  <c r="I10" i="4"/>
  <c r="H10" i="4"/>
  <c r="G10" i="4"/>
  <c r="O9" i="4"/>
  <c r="N9" i="4"/>
  <c r="M9" i="4"/>
  <c r="L9" i="4"/>
  <c r="K9" i="4"/>
  <c r="J9" i="4"/>
  <c r="G9" i="4"/>
  <c r="O8" i="4"/>
  <c r="N8" i="4"/>
  <c r="M8" i="4"/>
  <c r="L8" i="4"/>
  <c r="J8" i="4"/>
  <c r="I8" i="4"/>
  <c r="H8" i="4"/>
  <c r="G8" i="4"/>
  <c r="O7" i="4"/>
  <c r="N7" i="4"/>
  <c r="M7" i="4"/>
  <c r="L7" i="4"/>
  <c r="K7" i="4"/>
  <c r="J7" i="4"/>
  <c r="I7" i="4"/>
  <c r="H7" i="4"/>
  <c r="G7" i="4"/>
  <c r="O6" i="4"/>
  <c r="N6" i="4"/>
  <c r="M6" i="4"/>
  <c r="L6" i="4"/>
  <c r="K6" i="4"/>
  <c r="J6" i="4"/>
  <c r="I6" i="4"/>
  <c r="H6" i="4"/>
  <c r="G6" i="4"/>
  <c r="F14" i="4"/>
  <c r="F13" i="4"/>
  <c r="F12" i="4"/>
  <c r="F11" i="4"/>
  <c r="F10" i="4"/>
  <c r="F9" i="4"/>
  <c r="F8" i="4"/>
  <c r="F6" i="4"/>
  <c r="F7" i="4"/>
  <c r="DY28" i="4"/>
  <c r="EE26" i="4"/>
  <c r="ED26" i="4"/>
  <c r="EC26" i="4"/>
  <c r="EB26" i="4"/>
  <c r="EA26" i="4"/>
  <c r="EN7" i="4"/>
  <c r="EM7" i="4"/>
  <c r="EL7" i="4"/>
  <c r="EK7" i="4"/>
  <c r="EN6" i="4"/>
  <c r="EM6" i="4"/>
  <c r="EL6" i="4"/>
  <c r="EK6" i="4"/>
  <c r="EN5" i="4"/>
  <c r="EM5" i="4"/>
  <c r="EL5" i="4"/>
  <c r="EK5" i="4"/>
  <c r="EN4" i="4"/>
  <c r="EM4" i="4"/>
  <c r="EL4" i="4"/>
  <c r="EK4" i="4"/>
  <c r="EA11" i="4"/>
  <c r="EE14" i="4"/>
  <c r="ED14" i="4"/>
  <c r="EC14" i="4"/>
  <c r="EB14" i="4"/>
  <c r="EA14" i="4"/>
  <c r="DZ14" i="4"/>
  <c r="DY14" i="4"/>
  <c r="DX14" i="4"/>
  <c r="DW14" i="4"/>
  <c r="DV14" i="4"/>
  <c r="EE13" i="4"/>
  <c r="ED13" i="4"/>
  <c r="EC13" i="4"/>
  <c r="EB13" i="4"/>
  <c r="EA13" i="4"/>
  <c r="DZ13" i="4"/>
  <c r="DY13" i="4"/>
  <c r="DX13" i="4"/>
  <c r="DW13" i="4"/>
  <c r="DV13" i="4"/>
  <c r="EE12" i="4"/>
  <c r="ED12" i="4"/>
  <c r="EC12" i="4"/>
  <c r="EB12" i="4"/>
  <c r="EA12" i="4"/>
  <c r="DZ12" i="4"/>
  <c r="DY12" i="4"/>
  <c r="DX12" i="4"/>
  <c r="DW12" i="4"/>
  <c r="DV12" i="4"/>
  <c r="EE11" i="4"/>
  <c r="ED11" i="4"/>
  <c r="EC11" i="4"/>
  <c r="EB11" i="4"/>
  <c r="DZ11" i="4"/>
  <c r="DY11" i="4"/>
  <c r="DX11" i="4"/>
  <c r="DW11" i="4"/>
  <c r="DV11" i="4"/>
  <c r="EE10" i="4"/>
  <c r="ED10" i="4"/>
  <c r="EC10" i="4"/>
  <c r="EB10" i="4"/>
  <c r="EA10" i="4"/>
  <c r="DZ10" i="4"/>
  <c r="DY10" i="4"/>
  <c r="DX10" i="4"/>
  <c r="DW10" i="4"/>
  <c r="DV10" i="4"/>
  <c r="EE9" i="4"/>
  <c r="ED9" i="4"/>
  <c r="EC9" i="4"/>
  <c r="EB9" i="4"/>
  <c r="EA9" i="4"/>
  <c r="DZ9" i="4"/>
  <c r="DY9" i="4"/>
  <c r="DX9" i="4"/>
  <c r="DW9" i="4"/>
  <c r="DV9" i="4"/>
  <c r="EE8" i="4"/>
  <c r="ED8" i="4"/>
  <c r="EC8" i="4"/>
  <c r="EB8" i="4"/>
  <c r="EA8" i="4"/>
  <c r="DZ8" i="4"/>
  <c r="DY8" i="4"/>
  <c r="DX8" i="4"/>
  <c r="DW8" i="4"/>
  <c r="DV8" i="4"/>
  <c r="EE7" i="4"/>
  <c r="ED7" i="4"/>
  <c r="EC7" i="4"/>
  <c r="EB7" i="4"/>
  <c r="EA7" i="4"/>
  <c r="DZ7" i="4"/>
  <c r="DY7" i="4"/>
  <c r="DX7" i="4"/>
  <c r="DW7" i="4"/>
  <c r="DV7" i="4"/>
  <c r="DX6" i="4"/>
  <c r="EE6" i="4"/>
  <c r="ED6" i="4"/>
  <c r="EC6" i="4"/>
  <c r="EB6" i="4"/>
  <c r="EA6" i="4"/>
  <c r="DZ6" i="4"/>
  <c r="DY6" i="4"/>
  <c r="DW6" i="4"/>
  <c r="DV6" i="4"/>
  <c r="EE4" i="4"/>
  <c r="ED4" i="4"/>
  <c r="EC4" i="4"/>
  <c r="EB4" i="4"/>
  <c r="EA4" i="4"/>
  <c r="DZ4" i="4"/>
  <c r="DY4" i="4"/>
  <c r="DX4" i="4"/>
  <c r="DW4" i="4"/>
  <c r="DV4" i="4"/>
  <c r="BO13" i="2"/>
  <c r="CQ15" i="4" l="1"/>
  <c r="CR15" i="4"/>
  <c r="CO23" i="4"/>
  <c r="CQ29" i="4"/>
  <c r="CQ34" i="4"/>
  <c r="CR24" i="4"/>
  <c r="CO31" i="4"/>
  <c r="CR34" i="4"/>
  <c r="CP15" i="4"/>
  <c r="CP29" i="4"/>
  <c r="CO30" i="4"/>
  <c r="CP33" i="4"/>
  <c r="CO38" i="4"/>
  <c r="CP30" i="4"/>
  <c r="CP38" i="4"/>
  <c r="CP24" i="4"/>
  <c r="CO18" i="4"/>
  <c r="CO15" i="4"/>
  <c r="CQ18" i="4"/>
  <c r="CQ30" i="4"/>
  <c r="CQ38" i="4"/>
  <c r="CR16" i="4"/>
  <c r="AC29" i="3"/>
  <c r="CP34" i="4" s="1"/>
  <c r="AC5" i="3"/>
  <c r="AC9" i="3"/>
  <c r="AC14" i="3"/>
  <c r="AC18" i="3"/>
  <c r="CN23" i="4" s="1"/>
  <c r="AC26" i="3"/>
  <c r="CQ31" i="4" s="1"/>
  <c r="AC23" i="3"/>
  <c r="CO28" i="4" s="1"/>
  <c r="AC31" i="3"/>
  <c r="CO36" i="4" s="1"/>
  <c r="AC13" i="3"/>
  <c r="CR18" i="4" s="1"/>
  <c r="AC33" i="3"/>
  <c r="CN38" i="4" s="1"/>
  <c r="AC4" i="3"/>
  <c r="CN9" i="4" s="1"/>
  <c r="AC17" i="3"/>
  <c r="CP22" i="4" s="1"/>
  <c r="AC22" i="3"/>
  <c r="CQ27" i="4" s="1"/>
  <c r="AC30" i="3"/>
  <c r="CQ35" i="4" s="1"/>
  <c r="AC12" i="3"/>
  <c r="CO17" i="4" s="1"/>
  <c r="AC16" i="3"/>
  <c r="CP21" i="4" s="1"/>
  <c r="AC15" i="3"/>
  <c r="CO20" i="4" s="1"/>
  <c r="AC28" i="3"/>
  <c r="CQ33" i="4" s="1"/>
  <c r="CN33" i="4"/>
  <c r="AC8" i="3"/>
  <c r="CQ13" i="4" s="1"/>
  <c r="AC10" i="3"/>
  <c r="AC19" i="3"/>
  <c r="CO24" i="4" s="1"/>
  <c r="AC27" i="3"/>
  <c r="CR32" i="4" s="1"/>
  <c r="AC21" i="3"/>
  <c r="CP26" i="4" s="1"/>
  <c r="AC6" i="3"/>
  <c r="CP11" i="4" s="1"/>
  <c r="AC11" i="3"/>
  <c r="CP16" i="4" s="1"/>
  <c r="AC20" i="3"/>
  <c r="CN25" i="4" s="1"/>
  <c r="AC25" i="3"/>
  <c r="CR30" i="4" s="1"/>
  <c r="AC7" i="3"/>
  <c r="CO12" i="4" s="1"/>
  <c r="AC24" i="3"/>
  <c r="CO29" i="4" s="1"/>
  <c r="AC32" i="3"/>
  <c r="CR37" i="4" s="1"/>
  <c r="BX27" i="3"/>
  <c r="BX35" i="3"/>
  <c r="BV4" i="3"/>
  <c r="BV12" i="3"/>
  <c r="BV17" i="3"/>
  <c r="BV28" i="3"/>
  <c r="BX3" i="3"/>
  <c r="BX4" i="3"/>
  <c r="BV29" i="3"/>
  <c r="BV9" i="3"/>
  <c r="BV18" i="3"/>
  <c r="Q33" i="3"/>
  <c r="Q32" i="3"/>
  <c r="BX25" i="3"/>
  <c r="BX14" i="3"/>
  <c r="BX33" i="3"/>
  <c r="BX38" i="3"/>
  <c r="BX34" i="3"/>
  <c r="BX15" i="3"/>
  <c r="BX26" i="3"/>
  <c r="BX37" i="3"/>
  <c r="BX36" i="3"/>
  <c r="BX28" i="3"/>
  <c r="BX13" i="3"/>
  <c r="BX32" i="3"/>
  <c r="BX24" i="3"/>
  <c r="BV37" i="3"/>
  <c r="BX23" i="3"/>
  <c r="BX12" i="3"/>
  <c r="BX31" i="3"/>
  <c r="BV36" i="3"/>
  <c r="BX22" i="3"/>
  <c r="BX11" i="3"/>
  <c r="BX10" i="3"/>
  <c r="BV35" i="3"/>
  <c r="BX21" i="3"/>
  <c r="BV34" i="3"/>
  <c r="BV23" i="3"/>
  <c r="BX20" i="3"/>
  <c r="BX9" i="3"/>
  <c r="BV33" i="3"/>
  <c r="BV22" i="3"/>
  <c r="BX19" i="3"/>
  <c r="BX8" i="3"/>
  <c r="BV21" i="3"/>
  <c r="BX30" i="3"/>
  <c r="BX7" i="3"/>
  <c r="BV32" i="3"/>
  <c r="BX18" i="3"/>
  <c r="BX17" i="3"/>
  <c r="BX6" i="3"/>
  <c r="BV31" i="3"/>
  <c r="BV20" i="3"/>
  <c r="BX5" i="3"/>
  <c r="BV19" i="3"/>
  <c r="BV30" i="3"/>
  <c r="BV10" i="3"/>
  <c r="BV27" i="3"/>
  <c r="BV8" i="3"/>
  <c r="BV16" i="3"/>
  <c r="BX2" i="3"/>
  <c r="BV15" i="3"/>
  <c r="BV26" i="3"/>
  <c r="BV7" i="3"/>
  <c r="BV6" i="3"/>
  <c r="BV25" i="3"/>
  <c r="BV14" i="3"/>
  <c r="BV13" i="3"/>
  <c r="BV5" i="3"/>
  <c r="BV3" i="3"/>
  <c r="BV2" i="3"/>
  <c r="E32" i="3"/>
  <c r="BZ13" i="4" s="1"/>
  <c r="E33" i="3"/>
  <c r="E27" i="3"/>
  <c r="BZ11" i="4" s="1"/>
  <c r="E21" i="3"/>
  <c r="BZ8" i="4" s="1"/>
  <c r="BM12" i="3"/>
  <c r="BY24" i="4" s="1"/>
  <c r="BM6" i="3"/>
  <c r="BY18" i="4" s="1"/>
  <c r="BM9" i="3"/>
  <c r="BY21" i="4" s="1"/>
  <c r="BM11" i="3"/>
  <c r="BY23" i="4" s="1"/>
  <c r="W29" i="3"/>
  <c r="Q31" i="3"/>
  <c r="Q30" i="3"/>
  <c r="BM10" i="3"/>
  <c r="BY22" i="4" s="1"/>
  <c r="BM8" i="3"/>
  <c r="BY20" i="4" s="1"/>
  <c r="BM7" i="3"/>
  <c r="BY19" i="4" s="1"/>
  <c r="BM5" i="3"/>
  <c r="BY17" i="4" s="1"/>
  <c r="BM4" i="3"/>
  <c r="BY16" i="4" s="1"/>
  <c r="E31" i="3"/>
  <c r="BZ12" i="4" s="1"/>
  <c r="E20" i="3"/>
  <c r="E19" i="3"/>
  <c r="BZ6" i="4" s="1"/>
  <c r="E26" i="3"/>
  <c r="BK8" i="3" s="1"/>
  <c r="E25" i="3"/>
  <c r="BZ9" i="4" s="1"/>
  <c r="CP35" i="4" l="1"/>
  <c r="CR33" i="4"/>
  <c r="CR31" i="4"/>
  <c r="CO35" i="4"/>
  <c r="CR23" i="4"/>
  <c r="CO33" i="4"/>
  <c r="CP37" i="4"/>
  <c r="CR29" i="4"/>
  <c r="CR35" i="4"/>
  <c r="CP36" i="4"/>
  <c r="CQ36" i="4"/>
  <c r="CR36" i="4"/>
  <c r="CQ17" i="4"/>
  <c r="CP31" i="4"/>
  <c r="CO32" i="4"/>
  <c r="CP25" i="4"/>
  <c r="CO34" i="4"/>
  <c r="CP17" i="4"/>
  <c r="CP23" i="4"/>
  <c r="CQ24" i="4"/>
  <c r="CO25" i="4"/>
  <c r="CO37" i="4"/>
  <c r="CR17" i="4"/>
  <c r="CR25" i="4"/>
  <c r="CQ32" i="4"/>
  <c r="CQ25" i="4"/>
  <c r="CR38" i="4"/>
  <c r="CQ23" i="4"/>
  <c r="CQ37" i="4"/>
  <c r="CP32" i="4"/>
  <c r="CP18" i="4"/>
  <c r="CR12" i="4"/>
  <c r="CQ12" i="4"/>
  <c r="CP12" i="4"/>
  <c r="CR14" i="4"/>
  <c r="CQ14" i="4"/>
  <c r="CP14" i="4"/>
  <c r="CO14" i="4"/>
  <c r="CP9" i="4"/>
  <c r="CQ9" i="4"/>
  <c r="CO9" i="4"/>
  <c r="CR9" i="4"/>
  <c r="CQ16" i="4"/>
  <c r="CO16" i="4"/>
  <c r="CR19" i="4"/>
  <c r="CQ19" i="4"/>
  <c r="CP19" i="4"/>
  <c r="CO19" i="4"/>
  <c r="CR21" i="4"/>
  <c r="CQ21" i="4"/>
  <c r="CO21" i="4"/>
  <c r="CP27" i="4"/>
  <c r="CR27" i="4"/>
  <c r="CO27" i="4"/>
  <c r="CO26" i="4"/>
  <c r="CQ26" i="4"/>
  <c r="CR26" i="4"/>
  <c r="CR28" i="4"/>
  <c r="CP28" i="4"/>
  <c r="CQ28" i="4"/>
  <c r="CQ22" i="4"/>
  <c r="CO22" i="4"/>
  <c r="CR22" i="4"/>
  <c r="CR20" i="4"/>
  <c r="CQ20" i="4"/>
  <c r="CP20" i="4"/>
  <c r="CO13" i="4"/>
  <c r="CP13" i="4"/>
  <c r="CR13" i="4"/>
  <c r="CO11" i="4"/>
  <c r="CR11" i="4"/>
  <c r="CQ11" i="4"/>
  <c r="CO10" i="4"/>
  <c r="CP10" i="4"/>
  <c r="CQ10" i="4"/>
  <c r="CR10" i="4"/>
  <c r="CN18" i="4"/>
  <c r="CN19" i="4"/>
  <c r="CN37" i="4"/>
  <c r="CN12" i="4"/>
  <c r="CN20" i="4"/>
  <c r="CN29" i="4"/>
  <c r="CN26" i="4"/>
  <c r="CN36" i="4"/>
  <c r="CN11" i="4"/>
  <c r="CN32" i="4"/>
  <c r="CN24" i="4"/>
  <c r="CN21" i="4"/>
  <c r="CN28" i="4"/>
  <c r="CN31" i="4"/>
  <c r="CN15" i="4"/>
  <c r="CN13" i="4"/>
  <c r="CN35" i="4"/>
  <c r="CN34" i="4"/>
  <c r="CN30" i="4"/>
  <c r="CN14" i="4"/>
  <c r="CN16" i="4"/>
  <c r="CN27" i="4"/>
  <c r="CN22" i="4"/>
  <c r="CN17" i="4"/>
  <c r="CN10" i="4"/>
  <c r="CA6" i="4"/>
  <c r="CB6" i="4" s="1"/>
  <c r="BZ10" i="4"/>
  <c r="CA13" i="4"/>
  <c r="CB13" i="4" s="1"/>
  <c r="CA8" i="4"/>
  <c r="CB8" i="4" s="1"/>
  <c r="CA11" i="4"/>
  <c r="CB11" i="4" s="1"/>
  <c r="CA9" i="4"/>
  <c r="CB9" i="4" s="1"/>
  <c r="CA12" i="4"/>
  <c r="BZ23" i="4"/>
  <c r="CA23" i="4" s="1"/>
  <c r="BZ19" i="4"/>
  <c r="BZ22" i="4"/>
  <c r="CA22" i="4" s="1"/>
  <c r="CB22" i="4" s="1"/>
  <c r="BZ24" i="4"/>
  <c r="CA24" i="4" s="1"/>
  <c r="BZ21" i="4"/>
  <c r="CA21" i="4" s="1"/>
  <c r="BZ20" i="4"/>
  <c r="CA20" i="4" s="1"/>
  <c r="BZ18" i="4"/>
  <c r="BZ17" i="4"/>
  <c r="CA17" i="4" s="1"/>
  <c r="BK11" i="3"/>
  <c r="BK12" i="3"/>
  <c r="BK10" i="3"/>
  <c r="BK7" i="3"/>
  <c r="BK9" i="3"/>
  <c r="BK6" i="3"/>
  <c r="BK5" i="3"/>
  <c r="BK4" i="3"/>
  <c r="M30" i="1"/>
  <c r="N49" i="11" s="1"/>
  <c r="M29" i="1"/>
  <c r="M49" i="11" s="1"/>
  <c r="G30" i="1"/>
  <c r="L49" i="11" s="1"/>
  <c r="G29" i="1"/>
  <c r="S1" i="1"/>
  <c r="S12" i="15"/>
  <c r="S12" i="3"/>
  <c r="AF38" i="3"/>
  <c r="AC18" i="15" l="1"/>
  <c r="AC26" i="15"/>
  <c r="AC20" i="15"/>
  <c r="AC32" i="15"/>
  <c r="AC15" i="15"/>
  <c r="AC33" i="15"/>
  <c r="AC28" i="15"/>
  <c r="AC27" i="15"/>
  <c r="AC31" i="15"/>
  <c r="AC13" i="15"/>
  <c r="AC23" i="15"/>
  <c r="AC24" i="15"/>
  <c r="AC8" i="15"/>
  <c r="AC16" i="15"/>
  <c r="DL18" i="4"/>
  <c r="DL23" i="4"/>
  <c r="AC29" i="15"/>
  <c r="AC19" i="15"/>
  <c r="AC7" i="15"/>
  <c r="AC6" i="15"/>
  <c r="AC30" i="15"/>
  <c r="AC5" i="15"/>
  <c r="AC17" i="15"/>
  <c r="AC10" i="15"/>
  <c r="AC22" i="15"/>
  <c r="AC14" i="15"/>
  <c r="AC9" i="15"/>
  <c r="AC12" i="15"/>
  <c r="AC11" i="15"/>
  <c r="AC21" i="15"/>
  <c r="AC25" i="15"/>
  <c r="CC6" i="4"/>
  <c r="CD6" i="4" s="1"/>
  <c r="CE6" i="4" s="1"/>
  <c r="CB12" i="4"/>
  <c r="CC12" i="4" s="1"/>
  <c r="CD12" i="4" s="1"/>
  <c r="CA10" i="4"/>
  <c r="CB10" i="4" s="1"/>
  <c r="CC8" i="4"/>
  <c r="CD8" i="4" s="1"/>
  <c r="CC9" i="4"/>
  <c r="CD9" i="4" s="1"/>
  <c r="CC11" i="4"/>
  <c r="CC13" i="4"/>
  <c r="CD13" i="4" s="1"/>
  <c r="BX26" i="15"/>
  <c r="CC22" i="4"/>
  <c r="CB23" i="4"/>
  <c r="CB24" i="4"/>
  <c r="CC24" i="4" s="1"/>
  <c r="CA19" i="4"/>
  <c r="CB19" i="4" s="1"/>
  <c r="CB21" i="4"/>
  <c r="CC21" i="4" s="1"/>
  <c r="CB20" i="4"/>
  <c r="CA18" i="4"/>
  <c r="CB17" i="4"/>
  <c r="BE4" i="3"/>
  <c r="BE6" i="3"/>
  <c r="BH6" i="3" s="1"/>
  <c r="BE5" i="3"/>
  <c r="BH5" i="3" s="1"/>
  <c r="E33" i="15"/>
  <c r="BS9" i="3"/>
  <c r="BS11" i="3"/>
  <c r="BS10" i="3"/>
  <c r="BS8" i="3"/>
  <c r="BS7" i="3"/>
  <c r="BS6" i="3"/>
  <c r="BS5" i="3"/>
  <c r="BS12" i="3"/>
  <c r="BS4" i="3"/>
  <c r="AF36" i="3"/>
  <c r="AF34" i="3"/>
  <c r="AF5" i="1"/>
  <c r="AF3" i="1"/>
  <c r="AU3" i="15"/>
  <c r="W29" i="15"/>
  <c r="DF26" i="4" s="1"/>
  <c r="M33" i="15"/>
  <c r="M32" i="15"/>
  <c r="M31" i="15"/>
  <c r="M30" i="15"/>
  <c r="Q24" i="15"/>
  <c r="Q23" i="15"/>
  <c r="Q22" i="15"/>
  <c r="Q21" i="15"/>
  <c r="Q20" i="15"/>
  <c r="Q19" i="15"/>
  <c r="M33" i="3"/>
  <c r="M32" i="3"/>
  <c r="M31" i="3"/>
  <c r="M30" i="3"/>
  <c r="Q24" i="3"/>
  <c r="U24" i="3" s="1"/>
  <c r="Q23" i="3"/>
  <c r="U23" i="3" s="1"/>
  <c r="Q22" i="3"/>
  <c r="U22" i="3" s="1"/>
  <c r="Q21" i="3"/>
  <c r="U21" i="3" s="1"/>
  <c r="Q20" i="3"/>
  <c r="U20" i="3" s="1"/>
  <c r="Q19" i="3"/>
  <c r="BM41" i="2"/>
  <c r="BM42" i="2" s="1"/>
  <c r="AT33" i="2"/>
  <c r="AT32" i="2"/>
  <c r="AT31" i="2"/>
  <c r="AT30" i="2"/>
  <c r="AT29" i="2"/>
  <c r="AT28" i="2"/>
  <c r="AT27" i="2"/>
  <c r="AT26" i="2"/>
  <c r="AT25" i="2"/>
  <c r="AT24" i="2"/>
  <c r="AT23" i="2"/>
  <c r="AT22" i="2"/>
  <c r="AT21" i="2"/>
  <c r="AT20" i="2"/>
  <c r="AT19" i="2"/>
  <c r="AT18" i="2"/>
  <c r="AT17" i="2"/>
  <c r="AT16" i="2"/>
  <c r="AT15" i="2"/>
  <c r="AT14" i="2"/>
  <c r="AT13" i="2"/>
  <c r="AT12" i="2"/>
  <c r="AT11" i="2"/>
  <c r="AT10" i="2"/>
  <c r="AT9" i="2"/>
  <c r="AT8" i="2"/>
  <c r="AT7" i="2"/>
  <c r="AT6" i="2"/>
  <c r="AC34" i="2"/>
  <c r="AC35" i="2" s="1"/>
  <c r="AC36" i="2" s="1"/>
  <c r="U43" i="2"/>
  <c r="E42" i="2"/>
  <c r="I42" i="2" s="1"/>
  <c r="O24" i="2"/>
  <c r="U42" i="2"/>
  <c r="BD46" i="2"/>
  <c r="BD45" i="2"/>
  <c r="BD44" i="2"/>
  <c r="BD43" i="2"/>
  <c r="BD42" i="2"/>
  <c r="BD41" i="2"/>
  <c r="BD40" i="2"/>
  <c r="BD39" i="2"/>
  <c r="BD38" i="2"/>
  <c r="BD37" i="2"/>
  <c r="BD36" i="2"/>
  <c r="BD35" i="2"/>
  <c r="BD34" i="2"/>
  <c r="BD33" i="2"/>
  <c r="BD32" i="2"/>
  <c r="BD31" i="2"/>
  <c r="BD30" i="2"/>
  <c r="BD29" i="2"/>
  <c r="BD28" i="2"/>
  <c r="BD27" i="2"/>
  <c r="BD26" i="2"/>
  <c r="BD25" i="2"/>
  <c r="BD24" i="2"/>
  <c r="BD23" i="2"/>
  <c r="BD22" i="2"/>
  <c r="BD21" i="2"/>
  <c r="BD20" i="2"/>
  <c r="BD19" i="2"/>
  <c r="BD18" i="2"/>
  <c r="BD17" i="2"/>
  <c r="BD16" i="2"/>
  <c r="BD15" i="2"/>
  <c r="BD14" i="2"/>
  <c r="BD13" i="2"/>
  <c r="BD12" i="2"/>
  <c r="BD11" i="2"/>
  <c r="BD10" i="2"/>
  <c r="BD9" i="2"/>
  <c r="BD8" i="2"/>
  <c r="BD7" i="2"/>
  <c r="BD6" i="2"/>
  <c r="BD5" i="2"/>
  <c r="BD4" i="2"/>
  <c r="Q42" i="2"/>
  <c r="U41" i="2"/>
  <c r="Q41" i="2"/>
  <c r="U39" i="2"/>
  <c r="I40" i="2"/>
  <c r="Q39" i="2"/>
  <c r="E41" i="2"/>
  <c r="I41" i="2" s="1"/>
  <c r="E39" i="2"/>
  <c r="I39" i="2" s="1"/>
  <c r="U23" i="2"/>
  <c r="U24" i="2" s="1"/>
  <c r="U34" i="2"/>
  <c r="U35" i="2" s="1"/>
  <c r="E35" i="2"/>
  <c r="E4" i="11"/>
  <c r="E5" i="11" s="1"/>
  <c r="E6" i="11" s="1"/>
  <c r="E7" i="11" s="1"/>
  <c r="E8" i="11" s="1"/>
  <c r="E9" i="11" s="1"/>
  <c r="E10" i="11" s="1"/>
  <c r="E11" i="11" s="1"/>
  <c r="E12" i="11" s="1"/>
  <c r="DP15" i="4" l="1"/>
  <c r="DO15" i="4"/>
  <c r="DN15" i="4"/>
  <c r="DM15" i="4"/>
  <c r="DL30" i="4"/>
  <c r="DO30" i="4"/>
  <c r="DN30" i="4"/>
  <c r="DM30" i="4"/>
  <c r="DP30" i="4"/>
  <c r="DP10" i="4"/>
  <c r="DN10" i="4"/>
  <c r="DO10" i="4"/>
  <c r="DM10" i="4"/>
  <c r="DP21" i="4"/>
  <c r="DO21" i="4"/>
  <c r="DN21" i="4"/>
  <c r="DM21" i="4"/>
  <c r="DL38" i="4"/>
  <c r="DO38" i="4"/>
  <c r="DM38" i="4"/>
  <c r="DN38" i="4"/>
  <c r="DP38" i="4"/>
  <c r="DM16" i="4"/>
  <c r="DN16" i="4"/>
  <c r="DP16" i="4"/>
  <c r="DO16" i="4"/>
  <c r="DP35" i="4"/>
  <c r="DO35" i="4"/>
  <c r="DN35" i="4"/>
  <c r="DM35" i="4"/>
  <c r="DP13" i="4"/>
  <c r="DO13" i="4"/>
  <c r="DN13" i="4"/>
  <c r="DM13" i="4"/>
  <c r="DL20" i="4"/>
  <c r="DO20" i="4"/>
  <c r="DM20" i="4"/>
  <c r="DP20" i="4"/>
  <c r="DN20" i="4"/>
  <c r="DP17" i="4"/>
  <c r="DO17" i="4"/>
  <c r="DN17" i="4"/>
  <c r="DM17" i="4"/>
  <c r="DP37" i="4"/>
  <c r="DO37" i="4"/>
  <c r="DN37" i="4"/>
  <c r="DM37" i="4"/>
  <c r="DL14" i="4"/>
  <c r="DP14" i="4"/>
  <c r="DO14" i="4"/>
  <c r="DN14" i="4"/>
  <c r="DM14" i="4"/>
  <c r="DO12" i="4"/>
  <c r="DM12" i="4"/>
  <c r="DP12" i="4"/>
  <c r="DN12" i="4"/>
  <c r="DP28" i="4"/>
  <c r="DO28" i="4"/>
  <c r="DM28" i="4"/>
  <c r="DN28" i="4"/>
  <c r="DL25" i="4"/>
  <c r="DO25" i="4"/>
  <c r="DN25" i="4"/>
  <c r="DM25" i="4"/>
  <c r="DP25" i="4"/>
  <c r="DM32" i="4"/>
  <c r="DN32" i="4"/>
  <c r="DP32" i="4"/>
  <c r="DO32" i="4"/>
  <c r="DL22" i="4"/>
  <c r="DP22" i="4"/>
  <c r="DN22" i="4"/>
  <c r="DM22" i="4"/>
  <c r="DO22" i="4"/>
  <c r="DN26" i="4"/>
  <c r="DP26" i="4"/>
  <c r="DO26" i="4"/>
  <c r="DM26" i="4"/>
  <c r="DP29" i="4"/>
  <c r="DO29" i="4"/>
  <c r="DN29" i="4"/>
  <c r="DM29" i="4"/>
  <c r="DO19" i="4"/>
  <c r="DN19" i="4"/>
  <c r="DM19" i="4"/>
  <c r="DP19" i="4"/>
  <c r="DM24" i="4"/>
  <c r="DO24" i="4"/>
  <c r="DN24" i="4"/>
  <c r="DP24" i="4"/>
  <c r="DP18" i="4"/>
  <c r="DO18" i="4"/>
  <c r="DN18" i="4"/>
  <c r="DM18" i="4"/>
  <c r="DL31" i="4"/>
  <c r="DP31" i="4"/>
  <c r="DO31" i="4"/>
  <c r="DN31" i="4"/>
  <c r="DM31" i="4"/>
  <c r="DL33" i="4"/>
  <c r="DO33" i="4"/>
  <c r="DN33" i="4"/>
  <c r="DM33" i="4"/>
  <c r="DP33" i="4"/>
  <c r="DO11" i="4"/>
  <c r="DN11" i="4"/>
  <c r="DM11" i="4"/>
  <c r="DP11" i="4"/>
  <c r="DL27" i="4"/>
  <c r="DP27" i="4"/>
  <c r="DO27" i="4"/>
  <c r="DN27" i="4"/>
  <c r="DM27" i="4"/>
  <c r="DL34" i="4"/>
  <c r="DP34" i="4"/>
  <c r="DO34" i="4"/>
  <c r="DN34" i="4"/>
  <c r="DM34" i="4"/>
  <c r="DO36" i="4"/>
  <c r="DM36" i="4"/>
  <c r="DN36" i="4"/>
  <c r="DP36" i="4"/>
  <c r="DP23" i="4"/>
  <c r="DO23" i="4"/>
  <c r="DN23" i="4"/>
  <c r="DM23" i="4"/>
  <c r="DL37" i="4"/>
  <c r="DL32" i="4"/>
  <c r="DL36" i="4"/>
  <c r="DL29" i="4"/>
  <c r="DL16" i="4"/>
  <c r="DL13" i="4"/>
  <c r="DL28" i="4"/>
  <c r="DL21" i="4"/>
  <c r="DL24" i="4"/>
  <c r="DL26" i="4"/>
  <c r="DL15" i="4"/>
  <c r="DL10" i="4"/>
  <c r="DL35" i="4"/>
  <c r="DL11" i="4"/>
  <c r="DL19" i="4"/>
  <c r="DL12" i="4"/>
  <c r="DL17" i="4"/>
  <c r="CF6" i="4"/>
  <c r="CG6" i="4" s="1"/>
  <c r="CE8" i="4"/>
  <c r="CF8" i="4" s="1"/>
  <c r="CG8" i="4" s="1"/>
  <c r="CE12" i="4"/>
  <c r="CF12" i="4" s="1"/>
  <c r="CG12" i="4" s="1"/>
  <c r="CH12" i="4" s="1"/>
  <c r="CI12" i="4" s="1"/>
  <c r="CC10" i="4"/>
  <c r="CD10" i="4" s="1"/>
  <c r="CE9" i="4"/>
  <c r="CF9" i="4" s="1"/>
  <c r="CG9" i="4" s="1"/>
  <c r="CH9" i="4" s="1"/>
  <c r="CI9" i="4" s="1"/>
  <c r="CD11" i="4"/>
  <c r="CE13" i="4"/>
  <c r="CF13" i="4" s="1"/>
  <c r="CG13" i="4" s="1"/>
  <c r="BX34" i="15"/>
  <c r="BX15" i="15"/>
  <c r="BX14" i="15"/>
  <c r="CD21" i="4"/>
  <c r="CE21" i="4" s="1"/>
  <c r="BV37" i="15"/>
  <c r="BX24" i="15"/>
  <c r="BX13" i="15"/>
  <c r="BX32" i="15"/>
  <c r="BV25" i="15"/>
  <c r="BX33" i="15"/>
  <c r="BV14" i="15"/>
  <c r="BX25" i="15"/>
  <c r="BV6" i="15"/>
  <c r="CC19" i="4"/>
  <c r="CD24" i="4"/>
  <c r="CE24" i="4" s="1"/>
  <c r="CD22" i="4"/>
  <c r="CC23" i="4"/>
  <c r="CD23" i="4" s="1"/>
  <c r="DA14" i="4"/>
  <c r="CY14" i="4"/>
  <c r="DC14" i="4"/>
  <c r="DB14" i="4"/>
  <c r="DG14" i="4"/>
  <c r="DE14" i="4"/>
  <c r="CZ14" i="4"/>
  <c r="DD14" i="4"/>
  <c r="CX14" i="4"/>
  <c r="DF14" i="4"/>
  <c r="CC20" i="4"/>
  <c r="CD20" i="4" s="1"/>
  <c r="CB18" i="4"/>
  <c r="CC17" i="4"/>
  <c r="CD17" i="4" s="1"/>
  <c r="U42" i="3"/>
  <c r="BK12" i="15"/>
  <c r="U19" i="3"/>
  <c r="AH8" i="3"/>
  <c r="AH26" i="3"/>
  <c r="AH18" i="3"/>
  <c r="AH10" i="3"/>
  <c r="AH33" i="3"/>
  <c r="AH25" i="3"/>
  <c r="AH17" i="3"/>
  <c r="AH9" i="3"/>
  <c r="AH24" i="3"/>
  <c r="AH30" i="3"/>
  <c r="AH22" i="3"/>
  <c r="AH14" i="3"/>
  <c r="AH6" i="3"/>
  <c r="AH29" i="3"/>
  <c r="AH21" i="3"/>
  <c r="AH13" i="3"/>
  <c r="AH5" i="3"/>
  <c r="AH28" i="3"/>
  <c r="AH20" i="3"/>
  <c r="AH12" i="3"/>
  <c r="AH4" i="3"/>
  <c r="AH27" i="3"/>
  <c r="AH19" i="3"/>
  <c r="AH11" i="3"/>
  <c r="AH32" i="3"/>
  <c r="AH16" i="3"/>
  <c r="AH31" i="3"/>
  <c r="AH23" i="3"/>
  <c r="AH15" i="3"/>
  <c r="AH7" i="3"/>
  <c r="BS13" i="3"/>
  <c r="U39" i="3" s="1"/>
  <c r="AH13" i="15"/>
  <c r="AH28" i="15"/>
  <c r="AH20" i="15"/>
  <c r="AH12" i="15"/>
  <c r="AH4" i="15"/>
  <c r="AH27" i="15"/>
  <c r="AH19" i="15"/>
  <c r="AH11" i="15"/>
  <c r="AH26" i="15"/>
  <c r="AH10" i="15"/>
  <c r="AH32" i="15"/>
  <c r="AH24" i="15"/>
  <c r="AH16" i="15"/>
  <c r="AH8" i="15"/>
  <c r="AH31" i="15"/>
  <c r="AH23" i="15"/>
  <c r="AH15" i="15"/>
  <c r="AH7" i="15"/>
  <c r="AH30" i="15"/>
  <c r="AH22" i="15"/>
  <c r="AH14" i="15"/>
  <c r="AH6" i="15"/>
  <c r="AH29" i="15"/>
  <c r="AH21" i="15"/>
  <c r="AH5" i="15"/>
  <c r="AH18" i="15"/>
  <c r="AH33" i="15"/>
  <c r="AH25" i="15"/>
  <c r="AH17" i="15"/>
  <c r="AH9" i="15"/>
  <c r="DD26" i="4"/>
  <c r="DE26" i="4"/>
  <c r="DC26" i="4"/>
  <c r="DG26" i="4"/>
  <c r="BO14" i="2"/>
  <c r="BO16" i="2" s="1"/>
  <c r="BO17" i="2" s="1"/>
  <c r="U40" i="2"/>
  <c r="Q40" i="2" s="1"/>
  <c r="U17" i="1" l="1"/>
  <c r="BX5" i="15"/>
  <c r="BV4" i="15"/>
  <c r="BV12" i="15"/>
  <c r="CH6" i="4"/>
  <c r="CI6" i="4" s="1"/>
  <c r="BX10" i="15"/>
  <c r="CH8" i="4"/>
  <c r="CI8" i="4" s="1"/>
  <c r="E31" i="15"/>
  <c r="CE10" i="4"/>
  <c r="CF10" i="4" s="1"/>
  <c r="CH13" i="4"/>
  <c r="CO4" i="4"/>
  <c r="CO6" i="4"/>
  <c r="CO5" i="4"/>
  <c r="CE11" i="4"/>
  <c r="E25" i="15"/>
  <c r="CF21" i="4"/>
  <c r="CG21" i="4" s="1"/>
  <c r="CH21" i="4" s="1"/>
  <c r="BX11" i="15"/>
  <c r="BX22" i="15"/>
  <c r="BV36" i="15"/>
  <c r="BX4" i="15"/>
  <c r="BX31" i="15"/>
  <c r="BV30" i="15"/>
  <c r="BV19" i="15"/>
  <c r="BX38" i="15"/>
  <c r="BX23" i="15"/>
  <c r="BX12" i="15"/>
  <c r="CD19" i="4"/>
  <c r="CE20" i="4"/>
  <c r="CE22" i="4"/>
  <c r="CF22" i="4" s="1"/>
  <c r="CG22" i="4" s="1"/>
  <c r="CF24" i="4"/>
  <c r="CG24" i="4" s="1"/>
  <c r="CE23" i="4"/>
  <c r="BX8" i="15"/>
  <c r="BV13" i="15"/>
  <c r="CC18" i="4"/>
  <c r="CD18" i="4" s="1"/>
  <c r="CE17" i="4"/>
  <c r="BX20" i="15"/>
  <c r="BV23" i="15"/>
  <c r="BX9" i="15"/>
  <c r="BV34" i="15"/>
  <c r="BX19" i="15"/>
  <c r="BV22" i="15"/>
  <c r="BV33" i="15"/>
  <c r="BV31" i="15"/>
  <c r="BX17" i="15"/>
  <c r="BV20" i="15"/>
  <c r="BX6" i="15"/>
  <c r="BV10" i="15"/>
  <c r="AC4" i="15"/>
  <c r="BV5" i="15"/>
  <c r="U8" i="1"/>
  <c r="C46" i="11" s="1"/>
  <c r="I40" i="15"/>
  <c r="M44" i="15" s="1"/>
  <c r="M45" i="15" s="1"/>
  <c r="M46" i="15" s="1"/>
  <c r="M1" i="15" s="1"/>
  <c r="A3" i="15" s="1"/>
  <c r="I40" i="3"/>
  <c r="M44" i="3" s="1"/>
  <c r="Q33" i="15"/>
  <c r="DN7" i="4" s="1"/>
  <c r="V31" i="1"/>
  <c r="C45" i="11" s="1"/>
  <c r="M44" i="2"/>
  <c r="M45" i="2" s="1"/>
  <c r="M46" i="2" s="1"/>
  <c r="M1" i="2" s="1"/>
  <c r="EF34" i="4"/>
  <c r="EF37" i="4"/>
  <c r="DO9" i="4" l="1"/>
  <c r="DP9" i="4"/>
  <c r="DN9" i="4"/>
  <c r="DM9" i="4"/>
  <c r="DL9" i="4"/>
  <c r="E14" i="1"/>
  <c r="M18" i="1"/>
  <c r="M17" i="1"/>
  <c r="E49" i="11" s="1"/>
  <c r="G365" i="10" s="1"/>
  <c r="K365" i="10" s="1"/>
  <c r="M21" i="1"/>
  <c r="M16" i="1"/>
  <c r="E48" i="11" s="1"/>
  <c r="G373" i="10" s="1"/>
  <c r="K373" i="10" s="1"/>
  <c r="U19" i="1"/>
  <c r="E15" i="1"/>
  <c r="E34" i="11" s="1"/>
  <c r="G133" i="10" s="1"/>
  <c r="K133" i="10" s="1"/>
  <c r="BV9" i="15"/>
  <c r="BV29" i="15"/>
  <c r="BX35" i="15"/>
  <c r="BX27" i="15"/>
  <c r="U23" i="15" s="1"/>
  <c r="M42" i="11"/>
  <c r="L42" i="11"/>
  <c r="BV18" i="15"/>
  <c r="BV7" i="15"/>
  <c r="BX21" i="15"/>
  <c r="BV26" i="15"/>
  <c r="BV15" i="15"/>
  <c r="E50" i="11"/>
  <c r="G135" i="10" s="1"/>
  <c r="K135" i="10" s="1"/>
  <c r="BV35" i="15"/>
  <c r="BV2" i="15"/>
  <c r="CG10" i="4"/>
  <c r="CH10" i="4" s="1"/>
  <c r="DA12" i="4"/>
  <c r="BK10" i="15"/>
  <c r="DF12" i="4"/>
  <c r="CX12" i="4"/>
  <c r="DD12" i="4"/>
  <c r="CZ12" i="4"/>
  <c r="CY12" i="4"/>
  <c r="DB12" i="4"/>
  <c r="DE12" i="4"/>
  <c r="DC12" i="4"/>
  <c r="DG12" i="4"/>
  <c r="CP6" i="4"/>
  <c r="CQ6" i="4" s="1"/>
  <c r="CY9" i="4"/>
  <c r="DA9" i="4"/>
  <c r="DE9" i="4"/>
  <c r="CX9" i="4"/>
  <c r="DG9" i="4"/>
  <c r="BK7" i="15"/>
  <c r="DC9" i="4"/>
  <c r="DB9" i="4"/>
  <c r="DD9" i="4"/>
  <c r="DF9" i="4"/>
  <c r="CZ9" i="4"/>
  <c r="CP4" i="4"/>
  <c r="CQ4" i="4" s="1"/>
  <c r="CP5" i="4"/>
  <c r="CF11" i="4"/>
  <c r="CI13" i="4"/>
  <c r="E32" i="15" s="1"/>
  <c r="DF13" i="4" s="1"/>
  <c r="M45" i="3"/>
  <c r="M46" i="3" s="1"/>
  <c r="U22" i="15"/>
  <c r="CH24" i="4"/>
  <c r="CI24" i="4" s="1"/>
  <c r="CF20" i="4"/>
  <c r="CG20" i="4" s="1"/>
  <c r="CH20" i="4" s="1"/>
  <c r="K37" i="11"/>
  <c r="E316" i="10"/>
  <c r="E398" i="10"/>
  <c r="I398" i="10" s="1"/>
  <c r="BX3" i="15"/>
  <c r="BV17" i="15"/>
  <c r="BV28" i="15"/>
  <c r="BX28" i="15"/>
  <c r="BX36" i="15"/>
  <c r="BX37" i="15"/>
  <c r="E231" i="10"/>
  <c r="E367" i="10"/>
  <c r="E389" i="10"/>
  <c r="E420" i="10"/>
  <c r="E404" i="10"/>
  <c r="E312" i="10"/>
  <c r="E195" i="10"/>
  <c r="E104" i="10"/>
  <c r="E59" i="10"/>
  <c r="E136" i="10"/>
  <c r="E279" i="10"/>
  <c r="E199" i="10"/>
  <c r="E246" i="10"/>
  <c r="E232" i="10"/>
  <c r="E110" i="10"/>
  <c r="E387" i="10"/>
  <c r="E424" i="10"/>
  <c r="E236" i="10"/>
  <c r="E226" i="10"/>
  <c r="E126" i="10"/>
  <c r="E390" i="10"/>
  <c r="E405" i="10"/>
  <c r="E33" i="10"/>
  <c r="E146" i="10"/>
  <c r="E359" i="10"/>
  <c r="E102" i="10"/>
  <c r="E81" i="10"/>
  <c r="E344" i="10"/>
  <c r="CH22" i="4"/>
  <c r="CI22" i="4" s="1"/>
  <c r="BM10" i="15" s="1"/>
  <c r="CE19" i="4"/>
  <c r="CF23" i="4"/>
  <c r="CG23" i="4" s="1"/>
  <c r="BX30" i="15"/>
  <c r="BX7" i="15"/>
  <c r="BX18" i="15"/>
  <c r="BV32" i="15"/>
  <c r="BV21" i="15"/>
  <c r="CI21" i="4"/>
  <c r="CE18" i="4"/>
  <c r="CF18" i="4" s="1"/>
  <c r="CF17" i="4"/>
  <c r="BV3" i="15"/>
  <c r="U19" i="15" s="1"/>
  <c r="A3" i="2"/>
  <c r="DM7" i="4"/>
  <c r="DP7" i="4"/>
  <c r="DO7" i="4"/>
  <c r="EF30" i="4"/>
  <c r="EF33" i="4"/>
  <c r="EF38" i="4"/>
  <c r="EF31" i="4"/>
  <c r="EF36" i="4"/>
  <c r="EF32" i="4"/>
  <c r="EF35" i="4"/>
  <c r="EF29" i="4"/>
  <c r="DF4" i="4"/>
  <c r="DE4" i="4"/>
  <c r="DG4" i="4"/>
  <c r="DD4" i="4"/>
  <c r="F116" i="16" l="1"/>
  <c r="F42" i="16"/>
  <c r="F39" i="16"/>
  <c r="F27" i="16"/>
  <c r="F15" i="16"/>
  <c r="F86" i="16"/>
  <c r="F77" i="16"/>
  <c r="F29" i="16"/>
  <c r="F10" i="16"/>
  <c r="U12" i="1"/>
  <c r="U21" i="1"/>
  <c r="U13" i="1"/>
  <c r="U16" i="1"/>
  <c r="U18" i="1"/>
  <c r="E21" i="1"/>
  <c r="M12" i="1"/>
  <c r="E43" i="11" s="1"/>
  <c r="M20" i="1"/>
  <c r="E53" i="11" s="1"/>
  <c r="E16" i="1"/>
  <c r="U15" i="1"/>
  <c r="E19" i="1"/>
  <c r="E41" i="11" s="1"/>
  <c r="M15" i="1"/>
  <c r="E18" i="1"/>
  <c r="E40" i="11" s="1"/>
  <c r="M14" i="1"/>
  <c r="E46" i="11" s="1"/>
  <c r="U24" i="15"/>
  <c r="N44" i="11"/>
  <c r="K44" i="11"/>
  <c r="G71" i="10"/>
  <c r="K71" i="10" s="1"/>
  <c r="M37" i="11"/>
  <c r="N37" i="11"/>
  <c r="G357" i="10"/>
  <c r="K357" i="10" s="1"/>
  <c r="L41" i="11"/>
  <c r="G228" i="10"/>
  <c r="K228" i="10" s="1"/>
  <c r="G190" i="10"/>
  <c r="K190" i="10" s="1"/>
  <c r="G192" i="10"/>
  <c r="K192" i="10" s="1"/>
  <c r="G63" i="10"/>
  <c r="K63" i="10" s="1"/>
  <c r="G230" i="10"/>
  <c r="K230" i="10" s="1"/>
  <c r="G214" i="10"/>
  <c r="K214" i="10" s="1"/>
  <c r="G415" i="10"/>
  <c r="K415" i="10" s="1"/>
  <c r="G146" i="10"/>
  <c r="I146" i="10" s="1"/>
  <c r="G223" i="10"/>
  <c r="K223" i="10" s="1"/>
  <c r="G36" i="10"/>
  <c r="G336" i="10"/>
  <c r="K336" i="10" s="1"/>
  <c r="G212" i="10"/>
  <c r="K212" i="10" s="1"/>
  <c r="G114" i="10"/>
  <c r="K114" i="10" s="1"/>
  <c r="G273" i="10"/>
  <c r="K273" i="10" s="1"/>
  <c r="G385" i="10"/>
  <c r="K385" i="10" s="1"/>
  <c r="G350" i="10"/>
  <c r="K350" i="10" s="1"/>
  <c r="G143" i="10"/>
  <c r="K143" i="10" s="1"/>
  <c r="G277" i="10"/>
  <c r="K277" i="10" s="1"/>
  <c r="G396" i="10"/>
  <c r="K396" i="10" s="1"/>
  <c r="G217" i="10"/>
  <c r="K217" i="10" s="1"/>
  <c r="G229" i="10"/>
  <c r="K229" i="10" s="1"/>
  <c r="G328" i="10"/>
  <c r="K328" i="10" s="1"/>
  <c r="G386" i="10"/>
  <c r="K386" i="10" s="1"/>
  <c r="G395" i="10"/>
  <c r="K395" i="10" s="1"/>
  <c r="G389" i="10"/>
  <c r="I389" i="10" s="1"/>
  <c r="G356" i="10"/>
  <c r="K356" i="10" s="1"/>
  <c r="G237" i="10"/>
  <c r="K237" i="10" s="1"/>
  <c r="G112" i="10"/>
  <c r="K112" i="10" s="1"/>
  <c r="G384" i="10"/>
  <c r="K384" i="10" s="1"/>
  <c r="G256" i="10"/>
  <c r="K256" i="10" s="1"/>
  <c r="G239" i="10"/>
  <c r="K239" i="10" s="1"/>
  <c r="G175" i="10"/>
  <c r="K175" i="10" s="1"/>
  <c r="G247" i="10"/>
  <c r="K247" i="10" s="1"/>
  <c r="G62" i="10"/>
  <c r="K62" i="10" s="1"/>
  <c r="G393" i="10"/>
  <c r="K393" i="10" s="1"/>
  <c r="G89" i="10"/>
  <c r="CR4" i="4"/>
  <c r="Q30" i="15" s="1"/>
  <c r="U6" i="1"/>
  <c r="C41" i="11" s="1"/>
  <c r="CI10" i="4"/>
  <c r="DG13" i="4"/>
  <c r="M6" i="1"/>
  <c r="C34" i="11" s="1"/>
  <c r="CG11" i="4"/>
  <c r="CR6" i="4"/>
  <c r="BK11" i="15"/>
  <c r="CZ13" i="4"/>
  <c r="DA13" i="4"/>
  <c r="CY13" i="4"/>
  <c r="CX13" i="4"/>
  <c r="DB13" i="4"/>
  <c r="DE13" i="4"/>
  <c r="DD13" i="4"/>
  <c r="DC13" i="4"/>
  <c r="CQ5" i="4"/>
  <c r="M1" i="3"/>
  <c r="A3" i="3" s="1"/>
  <c r="G226" i="10"/>
  <c r="I226" i="10" s="1"/>
  <c r="G378" i="10"/>
  <c r="K378" i="10" s="1"/>
  <c r="G375" i="10"/>
  <c r="K375" i="10" s="1"/>
  <c r="G156" i="10"/>
  <c r="K156" i="10" s="1"/>
  <c r="G414" i="10"/>
  <c r="K414" i="10" s="1"/>
  <c r="G352" i="10"/>
  <c r="K352" i="10" s="1"/>
  <c r="G351" i="10"/>
  <c r="K351" i="10" s="1"/>
  <c r="G331" i="10"/>
  <c r="K331" i="10" s="1"/>
  <c r="G310" i="10"/>
  <c r="K310" i="10" s="1"/>
  <c r="G275" i="10"/>
  <c r="K275" i="10" s="1"/>
  <c r="G238" i="10"/>
  <c r="D29" i="1"/>
  <c r="U21" i="15"/>
  <c r="G334" i="10"/>
  <c r="G197" i="10"/>
  <c r="K197" i="10" s="1"/>
  <c r="G423" i="10"/>
  <c r="K423" i="10" s="1"/>
  <c r="G254" i="10"/>
  <c r="K254" i="10" s="1"/>
  <c r="G370" i="10"/>
  <c r="K370" i="10" s="1"/>
  <c r="G274" i="10"/>
  <c r="K274" i="10" s="1"/>
  <c r="G69" i="10"/>
  <c r="K69" i="10" s="1"/>
  <c r="G60" i="10"/>
  <c r="K60" i="10" s="1"/>
  <c r="G81" i="10"/>
  <c r="I81" i="10" s="1"/>
  <c r="G144" i="10"/>
  <c r="K144" i="10" s="1"/>
  <c r="G123" i="10"/>
  <c r="K123" i="10" s="1"/>
  <c r="G349" i="10"/>
  <c r="K349" i="10" s="1"/>
  <c r="G382" i="10"/>
  <c r="K382" i="10" s="1"/>
  <c r="G380" i="10"/>
  <c r="K380" i="10" s="1"/>
  <c r="G173" i="10"/>
  <c r="K173" i="10" s="1"/>
  <c r="G361" i="10"/>
  <c r="K361" i="10" s="1"/>
  <c r="G392" i="10"/>
  <c r="K392" i="10" s="1"/>
  <c r="G241" i="10"/>
  <c r="K241" i="10" s="1"/>
  <c r="G61" i="10"/>
  <c r="K61" i="10" s="1"/>
  <c r="G344" i="10"/>
  <c r="I344" i="10" s="1"/>
  <c r="G383" i="10"/>
  <c r="K383" i="10" s="1"/>
  <c r="G376" i="10"/>
  <c r="K376" i="10" s="1"/>
  <c r="G82" i="10"/>
  <c r="K82" i="10" s="1"/>
  <c r="G151" i="10"/>
  <c r="K151" i="10" s="1"/>
  <c r="G153" i="10"/>
  <c r="K153" i="10" s="1"/>
  <c r="G224" i="10"/>
  <c r="K224" i="10" s="1"/>
  <c r="G108" i="10"/>
  <c r="K108" i="10" s="1"/>
  <c r="N46" i="11"/>
  <c r="M40" i="11"/>
  <c r="CH23" i="4"/>
  <c r="DG22" i="4"/>
  <c r="CW22" i="4"/>
  <c r="CZ22" i="4"/>
  <c r="CY22" i="4"/>
  <c r="CX22" i="4"/>
  <c r="DA22" i="4"/>
  <c r="DB22" i="4"/>
  <c r="CF19" i="4"/>
  <c r="BM12" i="15"/>
  <c r="DG24" i="4" s="1"/>
  <c r="DD22" i="4"/>
  <c r="DF22" i="4"/>
  <c r="DC22" i="4"/>
  <c r="DE22" i="4"/>
  <c r="BM9" i="15"/>
  <c r="CI20" i="4"/>
  <c r="CG18" i="4"/>
  <c r="CG17" i="4"/>
  <c r="BV27" i="15"/>
  <c r="BV8" i="15"/>
  <c r="BX2" i="15"/>
  <c r="BV16" i="15"/>
  <c r="U20" i="15" s="1"/>
  <c r="BI15" i="1"/>
  <c r="BI13" i="1"/>
  <c r="BI4" i="1"/>
  <c r="R30" i="1"/>
  <c r="V34" i="1"/>
  <c r="I225" i="10" s="1"/>
  <c r="E35" i="11" l="1"/>
  <c r="G276" i="10" s="1"/>
  <c r="I276" i="10" s="1"/>
  <c r="M19" i="1"/>
  <c r="E52" i="11" s="1"/>
  <c r="G195" i="10" s="1"/>
  <c r="I195" i="10" s="1"/>
  <c r="E20" i="1"/>
  <c r="M13" i="1"/>
  <c r="U14" i="1"/>
  <c r="U20" i="1"/>
  <c r="N45" i="11" s="1"/>
  <c r="E13" i="1"/>
  <c r="E32" i="11" s="1"/>
  <c r="E12" i="1"/>
  <c r="M38" i="11"/>
  <c r="N38" i="11"/>
  <c r="M43" i="11"/>
  <c r="K43" i="11"/>
  <c r="K47" i="11" s="1"/>
  <c r="E33" i="11" s="1"/>
  <c r="AE33" i="4"/>
  <c r="AE37" i="4" s="1"/>
  <c r="K226" i="10"/>
  <c r="K81" i="10"/>
  <c r="K389" i="10"/>
  <c r="K344" i="10"/>
  <c r="K146" i="10"/>
  <c r="DM4" i="4"/>
  <c r="DN4" i="4"/>
  <c r="DP4" i="4"/>
  <c r="DO4" i="4"/>
  <c r="U7" i="1"/>
  <c r="C37" i="11" s="1"/>
  <c r="E397" i="10" s="1"/>
  <c r="E289" i="10"/>
  <c r="E248" i="10"/>
  <c r="E133" i="10"/>
  <c r="I133" i="10" s="1"/>
  <c r="E168" i="10"/>
  <c r="E370" i="10"/>
  <c r="E219" i="10"/>
  <c r="E355" i="10"/>
  <c r="I355" i="10" s="1"/>
  <c r="E414" i="10"/>
  <c r="I414" i="10" s="1"/>
  <c r="E238" i="10"/>
  <c r="E410" i="10"/>
  <c r="E159" i="10"/>
  <c r="E334" i="10"/>
  <c r="I334" i="10" s="1"/>
  <c r="E30" i="10"/>
  <c r="E64" i="10"/>
  <c r="E119" i="10"/>
  <c r="E83" i="10"/>
  <c r="E308" i="10"/>
  <c r="E142" i="10"/>
  <c r="E87" i="10"/>
  <c r="E185" i="10"/>
  <c r="E244" i="10"/>
  <c r="E19" i="10"/>
  <c r="E383" i="10"/>
  <c r="I383" i="10" s="1"/>
  <c r="E156" i="10"/>
  <c r="I156" i="10" s="1"/>
  <c r="E282" i="10"/>
  <c r="E26" i="15"/>
  <c r="E144" i="10"/>
  <c r="I144" i="10" s="1"/>
  <c r="E351" i="10"/>
  <c r="I351" i="10" s="1"/>
  <c r="E10" i="10"/>
  <c r="E329" i="10"/>
  <c r="E384" i="10"/>
  <c r="I384" i="10" s="1"/>
  <c r="E213" i="10"/>
  <c r="E415" i="10"/>
  <c r="I415" i="10" s="1"/>
  <c r="E309" i="10"/>
  <c r="E385" i="10"/>
  <c r="I385" i="10" s="1"/>
  <c r="E78" i="10"/>
  <c r="E378" i="10"/>
  <c r="I378" i="10" s="1"/>
  <c r="E183" i="10"/>
  <c r="E13" i="10"/>
  <c r="E314" i="10"/>
  <c r="E371" i="10"/>
  <c r="I371" i="10" s="1"/>
  <c r="E208" i="10"/>
  <c r="E8" i="10"/>
  <c r="E164" i="10"/>
  <c r="E352" i="10"/>
  <c r="I352" i="10" s="1"/>
  <c r="E217" i="10"/>
  <c r="I217" i="10" s="1"/>
  <c r="E228" i="10"/>
  <c r="I228" i="10" s="1"/>
  <c r="E376" i="10"/>
  <c r="I376" i="10" s="1"/>
  <c r="E328" i="10"/>
  <c r="I328" i="10" s="1"/>
  <c r="E11" i="10"/>
  <c r="E395" i="10"/>
  <c r="I395" i="10" s="1"/>
  <c r="E190" i="10"/>
  <c r="I190" i="10" s="1"/>
  <c r="E336" i="10"/>
  <c r="I336" i="10" s="1"/>
  <c r="E361" i="10"/>
  <c r="I361" i="10" s="1"/>
  <c r="E178" i="10"/>
  <c r="E251" i="10"/>
  <c r="E74" i="10"/>
  <c r="E233" i="10"/>
  <c r="E331" i="10"/>
  <c r="I331" i="10" s="1"/>
  <c r="E375" i="10"/>
  <c r="I375" i="10" s="1"/>
  <c r="E280" i="10"/>
  <c r="E406" i="10"/>
  <c r="E114" i="10"/>
  <c r="I114" i="10" s="1"/>
  <c r="E150" i="10"/>
  <c r="E230" i="10"/>
  <c r="I230" i="10" s="1"/>
  <c r="E311" i="10"/>
  <c r="I311" i="10" s="1"/>
  <c r="E9" i="10"/>
  <c r="E61" i="10"/>
  <c r="I61" i="10" s="1"/>
  <c r="E229" i="10"/>
  <c r="I229" i="10" s="1"/>
  <c r="E173" i="10"/>
  <c r="I173" i="10" s="1"/>
  <c r="E382" i="10"/>
  <c r="I382" i="10" s="1"/>
  <c r="E179" i="10"/>
  <c r="E393" i="10"/>
  <c r="I393" i="10" s="1"/>
  <c r="E63" i="10"/>
  <c r="I63" i="10" s="1"/>
  <c r="Q32" i="15"/>
  <c r="DP6" i="4" s="1"/>
  <c r="CH11" i="4"/>
  <c r="CR5" i="4"/>
  <c r="G79" i="10"/>
  <c r="G411" i="10"/>
  <c r="G202" i="10"/>
  <c r="G111" i="10"/>
  <c r="K111" i="10" s="1"/>
  <c r="G178" i="10"/>
  <c r="K178" i="10" s="1"/>
  <c r="G101" i="10"/>
  <c r="G289" i="10"/>
  <c r="K289" i="10" s="1"/>
  <c r="G113" i="10"/>
  <c r="G18" i="10"/>
  <c r="K18" i="10" s="1"/>
  <c r="G306" i="10"/>
  <c r="G233" i="10"/>
  <c r="K233" i="10" s="1"/>
  <c r="G360" i="10"/>
  <c r="K360" i="10" s="1"/>
  <c r="G318" i="10"/>
  <c r="K318" i="10" s="1"/>
  <c r="G196" i="10"/>
  <c r="G359" i="10"/>
  <c r="I359" i="10" s="1"/>
  <c r="G236" i="10"/>
  <c r="I236" i="10" s="1"/>
  <c r="G188" i="10"/>
  <c r="G204" i="10"/>
  <c r="K204" i="10" s="1"/>
  <c r="G103" i="10"/>
  <c r="K103" i="10" s="1"/>
  <c r="G209" i="10"/>
  <c r="K209" i="10" s="1"/>
  <c r="G75" i="10"/>
  <c r="G286" i="10"/>
  <c r="K286" i="10" s="1"/>
  <c r="G407" i="10"/>
  <c r="G171" i="10"/>
  <c r="G155" i="10"/>
  <c r="G413" i="10"/>
  <c r="G105" i="10"/>
  <c r="G177" i="10"/>
  <c r="G4" i="10"/>
  <c r="N40" i="11"/>
  <c r="L40" i="11"/>
  <c r="G253" i="10"/>
  <c r="K253" i="10" s="1"/>
  <c r="G125" i="10"/>
  <c r="K125" i="10" s="1"/>
  <c r="G59" i="10"/>
  <c r="I59" i="10" s="1"/>
  <c r="G78" i="10"/>
  <c r="K78" i="10" s="1"/>
  <c r="G35" i="10"/>
  <c r="K35" i="10" s="1"/>
  <c r="G308" i="10"/>
  <c r="K308" i="10" s="1"/>
  <c r="G391" i="10"/>
  <c r="K391" i="10" s="1"/>
  <c r="G5" i="10"/>
  <c r="K5" i="10" s="1"/>
  <c r="G312" i="10"/>
  <c r="I312" i="10" s="1"/>
  <c r="G149" i="10"/>
  <c r="K149" i="10" s="1"/>
  <c r="G248" i="10"/>
  <c r="K248" i="10" s="1"/>
  <c r="G167" i="10"/>
  <c r="K167" i="10" s="1"/>
  <c r="G19" i="10"/>
  <c r="K19" i="10" s="1"/>
  <c r="G119" i="10"/>
  <c r="K119" i="10" s="1"/>
  <c r="G121" i="10"/>
  <c r="K121" i="10" s="1"/>
  <c r="G410" i="10"/>
  <c r="K410" i="10" s="1"/>
  <c r="G315" i="10"/>
  <c r="K315" i="10" s="1"/>
  <c r="G314" i="10"/>
  <c r="K314" i="10" s="1"/>
  <c r="G219" i="10"/>
  <c r="K219" i="10" s="1"/>
  <c r="G185" i="10"/>
  <c r="K185" i="10" s="1"/>
  <c r="G244" i="10"/>
  <c r="K244" i="10" s="1"/>
  <c r="G216" i="10"/>
  <c r="K216" i="10" s="1"/>
  <c r="G189" i="10"/>
  <c r="K189" i="10" s="1"/>
  <c r="G279" i="10"/>
  <c r="I279" i="10" s="1"/>
  <c r="G231" i="10"/>
  <c r="I231" i="10" s="1"/>
  <c r="G104" i="10"/>
  <c r="I104" i="10" s="1"/>
  <c r="G305" i="10"/>
  <c r="K305" i="10" s="1"/>
  <c r="G179" i="10"/>
  <c r="K179" i="10" s="1"/>
  <c r="G142" i="10"/>
  <c r="K142" i="10" s="1"/>
  <c r="G83" i="10"/>
  <c r="K83" i="10" s="1"/>
  <c r="CH17" i="4"/>
  <c r="CI17" i="4" s="1"/>
  <c r="BM5" i="15" s="1"/>
  <c r="G381" i="10"/>
  <c r="K381" i="10" s="1"/>
  <c r="G338" i="10"/>
  <c r="G339" i="10"/>
  <c r="G309" i="10"/>
  <c r="K309" i="10" s="1"/>
  <c r="G421" i="10"/>
  <c r="G163" i="10"/>
  <c r="G138" i="10"/>
  <c r="K138" i="10" s="1"/>
  <c r="G148" i="10"/>
  <c r="K148" i="10" s="1"/>
  <c r="G72" i="10"/>
  <c r="G397" i="10"/>
  <c r="K397" i="10" s="1"/>
  <c r="G3" i="10"/>
  <c r="G30" i="10"/>
  <c r="K30" i="10" s="1"/>
  <c r="G88" i="10"/>
  <c r="G427" i="10"/>
  <c r="G210" i="10"/>
  <c r="K210" i="10" s="1"/>
  <c r="G409" i="10"/>
  <c r="K409" i="10" s="1"/>
  <c r="G141" i="10"/>
  <c r="G64" i="10"/>
  <c r="K64" i="10" s="1"/>
  <c r="CW24" i="4"/>
  <c r="CY24" i="4"/>
  <c r="CX24" i="4"/>
  <c r="DA24" i="4"/>
  <c r="CZ24" i="4"/>
  <c r="DC24" i="4"/>
  <c r="DB24" i="4"/>
  <c r="DF24" i="4"/>
  <c r="DE24" i="4"/>
  <c r="DD24" i="4"/>
  <c r="CG19" i="4"/>
  <c r="CI23" i="4"/>
  <c r="E42" i="11"/>
  <c r="CW21" i="4"/>
  <c r="DA21" i="4"/>
  <c r="CX21" i="4"/>
  <c r="CZ21" i="4"/>
  <c r="CY21" i="4"/>
  <c r="DC21" i="4"/>
  <c r="DB21" i="4"/>
  <c r="DD21" i="4"/>
  <c r="DF21" i="4"/>
  <c r="DE21" i="4"/>
  <c r="DG21" i="4"/>
  <c r="BM8" i="15"/>
  <c r="DG20" i="4" s="1"/>
  <c r="CH18" i="4"/>
  <c r="V35" i="1"/>
  <c r="G110" i="10" l="1"/>
  <c r="I110" i="10" s="1"/>
  <c r="G284" i="10"/>
  <c r="G424" i="10"/>
  <c r="I424" i="10" s="1"/>
  <c r="E45" i="11"/>
  <c r="F113" i="16"/>
  <c r="F95" i="16"/>
  <c r="F78" i="16"/>
  <c r="F60" i="16"/>
  <c r="F57" i="16"/>
  <c r="F19" i="16"/>
  <c r="F26" i="16"/>
  <c r="F93" i="16"/>
  <c r="F61" i="16"/>
  <c r="F98" i="16"/>
  <c r="F75" i="16"/>
  <c r="F69" i="16"/>
  <c r="F36" i="16"/>
  <c r="F33" i="16"/>
  <c r="F68" i="16"/>
  <c r="F44" i="16"/>
  <c r="F14" i="16"/>
  <c r="F5" i="16"/>
  <c r="F2" i="16"/>
  <c r="F20" i="16"/>
  <c r="F105" i="16"/>
  <c r="F21" i="16"/>
  <c r="F12" i="16"/>
  <c r="F9" i="16"/>
  <c r="F80" i="16"/>
  <c r="F71" i="16"/>
  <c r="F59" i="16"/>
  <c r="F23" i="16"/>
  <c r="F111" i="16"/>
  <c r="F47" i="16"/>
  <c r="F8" i="16"/>
  <c r="F89" i="16"/>
  <c r="F40" i="16"/>
  <c r="F34" i="16"/>
  <c r="F28" i="16"/>
  <c r="F73" i="16"/>
  <c r="F67" i="16"/>
  <c r="F13" i="16"/>
  <c r="F64" i="16"/>
  <c r="F37" i="16"/>
  <c r="F31" i="16"/>
  <c r="F76" i="16"/>
  <c r="F70" i="16"/>
  <c r="F25" i="16"/>
  <c r="F4" i="16"/>
  <c r="F82" i="16"/>
  <c r="DR4" i="1"/>
  <c r="G354" i="10"/>
  <c r="K354" i="10" s="1"/>
  <c r="G285" i="10"/>
  <c r="G269" i="10"/>
  <c r="I309" i="10"/>
  <c r="I142" i="10"/>
  <c r="I410" i="10"/>
  <c r="BG4" i="1"/>
  <c r="I64" i="10"/>
  <c r="I233" i="10"/>
  <c r="I248" i="10"/>
  <c r="I289" i="10"/>
  <c r="I308" i="10"/>
  <c r="AJ31" i="1"/>
  <c r="I238" i="10"/>
  <c r="I179" i="10"/>
  <c r="I314" i="10"/>
  <c r="I83" i="10"/>
  <c r="AJ9" i="1" s="1"/>
  <c r="I397" i="10"/>
  <c r="I178" i="10"/>
  <c r="I244" i="10"/>
  <c r="I30" i="10"/>
  <c r="AJ25" i="1"/>
  <c r="I370" i="10"/>
  <c r="I119" i="10"/>
  <c r="I78" i="10"/>
  <c r="I185" i="10"/>
  <c r="I19" i="10"/>
  <c r="I219" i="10"/>
  <c r="G232" i="10"/>
  <c r="I232" i="10" s="1"/>
  <c r="G246" i="10"/>
  <c r="I246" i="10" s="1"/>
  <c r="G87" i="10"/>
  <c r="K87" i="10" s="1"/>
  <c r="E17" i="1"/>
  <c r="E37" i="11" s="1"/>
  <c r="N47" i="11"/>
  <c r="E51" i="11" s="1"/>
  <c r="G401" i="10" s="1"/>
  <c r="K401" i="10" s="1"/>
  <c r="G126" i="10"/>
  <c r="I126" i="10" s="1"/>
  <c r="G337" i="10"/>
  <c r="K337" i="10" s="1"/>
  <c r="G91" i="10"/>
  <c r="K91" i="10" s="1"/>
  <c r="G165" i="10"/>
  <c r="K165" i="10" s="1"/>
  <c r="G122" i="10"/>
  <c r="K122" i="10" s="1"/>
  <c r="G390" i="10"/>
  <c r="I390" i="10" s="1"/>
  <c r="G278" i="10"/>
  <c r="L39" i="11"/>
  <c r="L47" i="11" s="1"/>
  <c r="E38" i="11" s="1"/>
  <c r="G420" i="10" s="1"/>
  <c r="I420" i="10" s="1"/>
  <c r="M39" i="11"/>
  <c r="M47" i="11" s="1"/>
  <c r="E39" i="11" s="1"/>
  <c r="G419" i="10" s="1"/>
  <c r="K419" i="10" s="1"/>
  <c r="K359" i="10"/>
  <c r="K424" i="10"/>
  <c r="K110" i="10"/>
  <c r="AJ26" i="1"/>
  <c r="K104" i="10"/>
  <c r="K312" i="10"/>
  <c r="K276" i="10"/>
  <c r="K59" i="10"/>
  <c r="K195" i="10"/>
  <c r="K231" i="10"/>
  <c r="K279" i="10"/>
  <c r="K236" i="10"/>
  <c r="V39" i="1"/>
  <c r="V40" i="1" s="1"/>
  <c r="E318" i="10"/>
  <c r="I318" i="10" s="1"/>
  <c r="E293" i="10"/>
  <c r="E241" i="10"/>
  <c r="I241" i="10" s="1"/>
  <c r="E401" i="10"/>
  <c r="E391" i="10"/>
  <c r="I391" i="10" s="1"/>
  <c r="E125" i="10"/>
  <c r="I125" i="10" s="1"/>
  <c r="E121" i="10"/>
  <c r="I121" i="10" s="1"/>
  <c r="E409" i="10"/>
  <c r="I409" i="10" s="1"/>
  <c r="E379" i="10"/>
  <c r="E262" i="10"/>
  <c r="I262" i="10" s="1"/>
  <c r="E264" i="10"/>
  <c r="I264" i="10" s="1"/>
  <c r="E235" i="10"/>
  <c r="E140" i="10"/>
  <c r="E288" i="10"/>
  <c r="E223" i="10"/>
  <c r="I223" i="10" s="1"/>
  <c r="E300" i="10"/>
  <c r="I300" i="10" s="1"/>
  <c r="E296" i="10"/>
  <c r="I296" i="10" s="1"/>
  <c r="E294" i="10"/>
  <c r="I294" i="10" s="1"/>
  <c r="E197" i="10"/>
  <c r="E299" i="10"/>
  <c r="I299" i="10" s="1"/>
  <c r="E206" i="10"/>
  <c r="E261" i="10"/>
  <c r="I261" i="10" s="1"/>
  <c r="E297" i="10"/>
  <c r="I297" i="10" s="1"/>
  <c r="E210" i="10"/>
  <c r="I210" i="10" s="1"/>
  <c r="E198" i="10"/>
  <c r="E295" i="10"/>
  <c r="I295" i="10" s="1"/>
  <c r="E151" i="10"/>
  <c r="I151" i="10" s="1"/>
  <c r="E224" i="10"/>
  <c r="I224" i="10" s="1"/>
  <c r="E268" i="10"/>
  <c r="I268" i="10" s="1"/>
  <c r="E369" i="10"/>
  <c r="E254" i="10"/>
  <c r="I254" i="10" s="1"/>
  <c r="E263" i="10"/>
  <c r="I263" i="10" s="1"/>
  <c r="E265" i="10"/>
  <c r="I265" i="10" s="1"/>
  <c r="E6" i="10"/>
  <c r="E122" i="10"/>
  <c r="E310" i="10"/>
  <c r="I310" i="10" s="1"/>
  <c r="E358" i="10"/>
  <c r="E321" i="10"/>
  <c r="E315" i="10"/>
  <c r="I315" i="10" s="1"/>
  <c r="E283" i="10"/>
  <c r="E298" i="10"/>
  <c r="I298" i="10" s="1"/>
  <c r="E266" i="10"/>
  <c r="I266" i="10" s="1"/>
  <c r="E260" i="10"/>
  <c r="I260" i="10" s="1"/>
  <c r="E250" i="10"/>
  <c r="E278" i="10"/>
  <c r="E176" i="10"/>
  <c r="E365" i="10"/>
  <c r="I365" i="10" s="1"/>
  <c r="E323" i="10"/>
  <c r="E111" i="10"/>
  <c r="I111" i="10" s="1"/>
  <c r="E305" i="10"/>
  <c r="I305" i="10" s="1"/>
  <c r="E303" i="10"/>
  <c r="I303" i="10" s="1"/>
  <c r="E138" i="10"/>
  <c r="I138" i="10" s="1"/>
  <c r="E302" i="10"/>
  <c r="I302" i="10" s="1"/>
  <c r="E220" i="10"/>
  <c r="E267" i="10"/>
  <c r="I267" i="10" s="1"/>
  <c r="E301" i="10"/>
  <c r="I301" i="10" s="1"/>
  <c r="E259" i="10"/>
  <c r="I259" i="10" s="1"/>
  <c r="E422" i="10"/>
  <c r="E18" i="10"/>
  <c r="I18" i="10" s="1"/>
  <c r="E175" i="10"/>
  <c r="I175" i="10" s="1"/>
  <c r="E286" i="10"/>
  <c r="I286" i="10" s="1"/>
  <c r="E388" i="10"/>
  <c r="E275" i="10"/>
  <c r="I275" i="10" s="1"/>
  <c r="E215" i="10"/>
  <c r="E423" i="10"/>
  <c r="I423" i="10" s="1"/>
  <c r="E14" i="10"/>
  <c r="E204" i="10"/>
  <c r="I204" i="10" s="1"/>
  <c r="L29" i="1"/>
  <c r="K49" i="11" s="1"/>
  <c r="O49" i="11" s="1"/>
  <c r="C35" i="11" s="1"/>
  <c r="E147" i="10" s="1"/>
  <c r="I147" i="10" s="1"/>
  <c r="DD10" i="4"/>
  <c r="BK8" i="15"/>
  <c r="DB10" i="4"/>
  <c r="DC10" i="4"/>
  <c r="DF10" i="4"/>
  <c r="CX10" i="4"/>
  <c r="CZ10" i="4"/>
  <c r="DA10" i="4"/>
  <c r="DE10" i="4"/>
  <c r="CY10" i="4"/>
  <c r="DG10" i="4"/>
  <c r="CI11" i="4"/>
  <c r="Q31" i="15"/>
  <c r="DP5" i="4" s="1"/>
  <c r="DM6" i="4"/>
  <c r="DN6" i="4"/>
  <c r="DO6" i="4"/>
  <c r="G9" i="10"/>
  <c r="I9" i="10" s="1"/>
  <c r="G11" i="10"/>
  <c r="I11" i="10" s="1"/>
  <c r="G8" i="10"/>
  <c r="I8" i="10" s="1"/>
  <c r="G184" i="10"/>
  <c r="K184" i="10" s="1"/>
  <c r="G10" i="10"/>
  <c r="I10" i="10" s="1"/>
  <c r="G7" i="10"/>
  <c r="I7" i="10" s="1"/>
  <c r="G176" i="10"/>
  <c r="K176" i="10" s="1"/>
  <c r="G183" i="10"/>
  <c r="I183" i="10" s="1"/>
  <c r="G207" i="10"/>
  <c r="K207" i="10" s="1"/>
  <c r="G335" i="10"/>
  <c r="I335" i="10" s="1"/>
  <c r="G206" i="10"/>
  <c r="G140" i="10"/>
  <c r="G12" i="10"/>
  <c r="G16" i="10"/>
  <c r="G14" i="10"/>
  <c r="G15" i="10"/>
  <c r="G13" i="10"/>
  <c r="I13" i="10" s="1"/>
  <c r="G152" i="10"/>
  <c r="G321" i="10"/>
  <c r="G65" i="10"/>
  <c r="K65" i="10" s="1"/>
  <c r="BM11" i="15"/>
  <c r="CH19" i="4"/>
  <c r="CW20" i="4"/>
  <c r="CY20" i="4"/>
  <c r="CX20" i="4"/>
  <c r="CZ20" i="4"/>
  <c r="DC20" i="4"/>
  <c r="DA20" i="4"/>
  <c r="DB20" i="4"/>
  <c r="DD20" i="4"/>
  <c r="DE20" i="4"/>
  <c r="DF20" i="4"/>
  <c r="CI18" i="4"/>
  <c r="CW17" i="4"/>
  <c r="CY17" i="4"/>
  <c r="CX17" i="4"/>
  <c r="CZ17" i="4"/>
  <c r="DA17" i="4"/>
  <c r="DB17" i="4"/>
  <c r="DC17" i="4"/>
  <c r="DD17" i="4"/>
  <c r="DG17" i="4"/>
  <c r="DE17" i="4"/>
  <c r="DF17" i="4"/>
  <c r="V6" i="1"/>
  <c r="N8" i="1"/>
  <c r="V8" i="1"/>
  <c r="I176" i="10" l="1"/>
  <c r="K232" i="10"/>
  <c r="I401" i="10"/>
  <c r="I140" i="10"/>
  <c r="I321" i="10"/>
  <c r="I278" i="10"/>
  <c r="I206" i="10"/>
  <c r="I14" i="10"/>
  <c r="I87" i="10"/>
  <c r="K246" i="10"/>
  <c r="I122" i="10"/>
  <c r="AJ16" i="1"/>
  <c r="I197" i="10"/>
  <c r="G235" i="10"/>
  <c r="K235" i="10" s="1"/>
  <c r="G379" i="10"/>
  <c r="K379" i="10" s="1"/>
  <c r="G362" i="10"/>
  <c r="K362" i="10" s="1"/>
  <c r="G128" i="10"/>
  <c r="K128" i="10" s="1"/>
  <c r="G369" i="10"/>
  <c r="K369" i="10" s="1"/>
  <c r="G255" i="10"/>
  <c r="K255" i="10" s="1"/>
  <c r="G102" i="10"/>
  <c r="G282" i="10"/>
  <c r="I282" i="10" s="1"/>
  <c r="G168" i="10"/>
  <c r="I168" i="10" s="1"/>
  <c r="G388" i="10"/>
  <c r="K388" i="10" s="1"/>
  <c r="G313" i="10"/>
  <c r="K313" i="10" s="1"/>
  <c r="G283" i="10"/>
  <c r="K283" i="10" s="1"/>
  <c r="G422" i="10"/>
  <c r="K422" i="10" s="1"/>
  <c r="G198" i="10"/>
  <c r="K198" i="10" s="1"/>
  <c r="G172" i="10"/>
  <c r="K172" i="10" s="1"/>
  <c r="G387" i="10"/>
  <c r="I387" i="10" s="1"/>
  <c r="G293" i="10"/>
  <c r="K293" i="10" s="1"/>
  <c r="G199" i="10"/>
  <c r="G250" i="10"/>
  <c r="K250" i="10" s="1"/>
  <c r="G404" i="10"/>
  <c r="G131" i="10"/>
  <c r="K131" i="10" s="1"/>
  <c r="G323" i="10"/>
  <c r="K323" i="10" s="1"/>
  <c r="G136" i="10"/>
  <c r="I136" i="10" s="1"/>
  <c r="G215" i="10"/>
  <c r="K215" i="10" s="1"/>
  <c r="G76" i="10"/>
  <c r="K76" i="10" s="1"/>
  <c r="G107" i="10"/>
  <c r="K107" i="10" s="1"/>
  <c r="G68" i="10"/>
  <c r="K68" i="10" s="1"/>
  <c r="K390" i="10"/>
  <c r="G430" i="10"/>
  <c r="K430" i="10" s="1"/>
  <c r="G372" i="10"/>
  <c r="K372" i="10" s="1"/>
  <c r="G394" i="10"/>
  <c r="K394" i="10" s="1"/>
  <c r="G211" i="10"/>
  <c r="K211" i="10" s="1"/>
  <c r="G227" i="10"/>
  <c r="K227" i="10" s="1"/>
  <c r="G242" i="10"/>
  <c r="K242" i="10" s="1"/>
  <c r="G342" i="10"/>
  <c r="K342" i="10" s="1"/>
  <c r="G418" i="10"/>
  <c r="K418" i="10" s="1"/>
  <c r="G377" i="10"/>
  <c r="K377" i="10" s="1"/>
  <c r="G33" i="10"/>
  <c r="I33" i="10" s="1"/>
  <c r="G159" i="10"/>
  <c r="I159" i="10" s="1"/>
  <c r="G405" i="10"/>
  <c r="I405" i="10" s="1"/>
  <c r="G213" i="10"/>
  <c r="I213" i="10" s="1"/>
  <c r="G220" i="10"/>
  <c r="K220" i="10" s="1"/>
  <c r="G191" i="10"/>
  <c r="K191" i="10" s="1"/>
  <c r="G86" i="10"/>
  <c r="K86" i="10" s="1"/>
  <c r="K126" i="10"/>
  <c r="K183" i="10"/>
  <c r="K10" i="10"/>
  <c r="K9" i="10"/>
  <c r="K420" i="10"/>
  <c r="K7" i="10"/>
  <c r="K8" i="10"/>
  <c r="K335" i="10"/>
  <c r="K11" i="10"/>
  <c r="W8" i="1"/>
  <c r="P10" i="11" s="1"/>
  <c r="O10" i="11"/>
  <c r="W6" i="1"/>
  <c r="P7" i="11" s="1"/>
  <c r="O7" i="11"/>
  <c r="O8" i="1"/>
  <c r="P2" i="11" s="1"/>
  <c r="O2" i="11"/>
  <c r="AJ30" i="1"/>
  <c r="AJ32" i="1"/>
  <c r="AJ17" i="1"/>
  <c r="AJ11" i="1"/>
  <c r="E324" i="10"/>
  <c r="I324" i="10" s="1"/>
  <c r="E272" i="10"/>
  <c r="I272" i="10" s="1"/>
  <c r="M7" i="1"/>
  <c r="C39" i="11" s="1"/>
  <c r="DN5" i="4"/>
  <c r="DM5" i="4"/>
  <c r="DO5" i="4"/>
  <c r="E27" i="15"/>
  <c r="DG11" i="4" s="1"/>
  <c r="R29" i="1"/>
  <c r="G249" i="10"/>
  <c r="K249" i="10" s="1"/>
  <c r="G208" i="10"/>
  <c r="I208" i="10" s="1"/>
  <c r="G316" i="10"/>
  <c r="I316" i="10" s="1"/>
  <c r="G288" i="10"/>
  <c r="I288" i="10" s="1"/>
  <c r="G280" i="10"/>
  <c r="I280" i="10" s="1"/>
  <c r="G31" i="10"/>
  <c r="G358" i="10"/>
  <c r="I358" i="10" s="1"/>
  <c r="G74" i="10"/>
  <c r="I74" i="10" s="1"/>
  <c r="AJ13" i="1" s="1"/>
  <c r="G332" i="10"/>
  <c r="K332" i="10" s="1"/>
  <c r="G164" i="10"/>
  <c r="I164" i="10" s="1"/>
  <c r="G366" i="10"/>
  <c r="K366" i="10" s="1"/>
  <c r="G251" i="10"/>
  <c r="I251" i="10" s="1"/>
  <c r="G6" i="10"/>
  <c r="I6" i="10" s="1"/>
  <c r="G406" i="10"/>
  <c r="I406" i="10" s="1"/>
  <c r="G329" i="10"/>
  <c r="I329" i="10" s="1"/>
  <c r="G150" i="10"/>
  <c r="I150" i="10" s="1"/>
  <c r="G367" i="10"/>
  <c r="I367" i="10" s="1"/>
  <c r="N7" i="1"/>
  <c r="F7" i="1"/>
  <c r="CW23" i="4"/>
  <c r="CY23" i="4"/>
  <c r="CX23" i="4"/>
  <c r="CZ23" i="4"/>
  <c r="DB23" i="4"/>
  <c r="DA23" i="4"/>
  <c r="DC23" i="4"/>
  <c r="DE23" i="4"/>
  <c r="DD23" i="4"/>
  <c r="DF23" i="4"/>
  <c r="CI19" i="4"/>
  <c r="DG23" i="4"/>
  <c r="BM6" i="15"/>
  <c r="I235" i="10" l="1"/>
  <c r="I220" i="10"/>
  <c r="I379" i="10"/>
  <c r="I283" i="10"/>
  <c r="I323" i="10"/>
  <c r="I215" i="10"/>
  <c r="I198" i="10"/>
  <c r="I250" i="10"/>
  <c r="I293" i="10"/>
  <c r="K199" i="10"/>
  <c r="I199" i="10"/>
  <c r="K102" i="10"/>
  <c r="I102" i="10"/>
  <c r="K404" i="10"/>
  <c r="I404" i="10"/>
  <c r="I369" i="10"/>
  <c r="I422" i="10"/>
  <c r="I388" i="10"/>
  <c r="K168" i="10"/>
  <c r="K136" i="10"/>
  <c r="K387" i="10"/>
  <c r="K282" i="10"/>
  <c r="K33" i="10"/>
  <c r="K159" i="10"/>
  <c r="K213" i="10"/>
  <c r="AJ24" i="1"/>
  <c r="K405" i="10"/>
  <c r="F29" i="1"/>
  <c r="K316" i="10"/>
  <c r="K164" i="10"/>
  <c r="K208" i="10"/>
  <c r="K150" i="10"/>
  <c r="K74" i="10"/>
  <c r="K251" i="10"/>
  <c r="K367" i="10"/>
  <c r="K358" i="10"/>
  <c r="K329" i="10"/>
  <c r="K406" i="10"/>
  <c r="K6" i="10"/>
  <c r="K280" i="10"/>
  <c r="K288" i="10"/>
  <c r="K36" i="10"/>
  <c r="K334" i="10"/>
  <c r="K238" i="10"/>
  <c r="O7" i="1"/>
  <c r="P6" i="11" s="1"/>
  <c r="O6" i="11"/>
  <c r="G7" i="1"/>
  <c r="BF6" i="1" s="1"/>
  <c r="O4" i="11"/>
  <c r="AJ10" i="1"/>
  <c r="L30" i="1"/>
  <c r="E214" i="10"/>
  <c r="I214" i="10" s="1"/>
  <c r="E247" i="10"/>
  <c r="I247" i="10" s="1"/>
  <c r="E216" i="10"/>
  <c r="I216" i="10" s="1"/>
  <c r="E356" i="10"/>
  <c r="I356" i="10" s="1"/>
  <c r="E360" i="10"/>
  <c r="I360" i="10" s="1"/>
  <c r="E366" i="10"/>
  <c r="I366" i="10" s="1"/>
  <c r="E60" i="10"/>
  <c r="I60" i="10" s="1"/>
  <c r="E103" i="10"/>
  <c r="I103" i="10" s="1"/>
  <c r="E239" i="10"/>
  <c r="I239" i="10" s="1"/>
  <c r="E184" i="10"/>
  <c r="I184" i="10" s="1"/>
  <c r="E277" i="10"/>
  <c r="I277" i="10" s="1"/>
  <c r="E256" i="10"/>
  <c r="I256" i="10" s="1"/>
  <c r="E412" i="10"/>
  <c r="I412" i="10" s="1"/>
  <c r="E237" i="10"/>
  <c r="I237" i="10" s="1"/>
  <c r="E167" i="10"/>
  <c r="I167" i="10" s="1"/>
  <c r="E249" i="10"/>
  <c r="I249" i="10" s="1"/>
  <c r="E354" i="10"/>
  <c r="I354" i="10" s="1"/>
  <c r="E372" i="10"/>
  <c r="I372" i="10" s="1"/>
  <c r="E82" i="10"/>
  <c r="I82" i="10" s="1"/>
  <c r="E143" i="10"/>
  <c r="I143" i="10" s="1"/>
  <c r="E209" i="10"/>
  <c r="I209" i="10" s="1"/>
  <c r="E253" i="10"/>
  <c r="I253" i="10" s="1"/>
  <c r="E5" i="10"/>
  <c r="I5" i="10" s="1"/>
  <c r="E149" i="10"/>
  <c r="I149" i="10" s="1"/>
  <c r="E148" i="10"/>
  <c r="I148" i="10" s="1"/>
  <c r="E112" i="10"/>
  <c r="I112" i="10" s="1"/>
  <c r="E62" i="10"/>
  <c r="I62" i="10" s="1"/>
  <c r="E408" i="10"/>
  <c r="I408" i="10" s="1"/>
  <c r="E273" i="10"/>
  <c r="I273" i="10" s="1"/>
  <c r="E396" i="10"/>
  <c r="I396" i="10" s="1"/>
  <c r="E68" i="10"/>
  <c r="I68" i="10" s="1"/>
  <c r="E380" i="10"/>
  <c r="I380" i="10" s="1"/>
  <c r="E165" i="10"/>
  <c r="I165" i="10" s="1"/>
  <c r="E373" i="10"/>
  <c r="I373" i="10" s="1"/>
  <c r="E69" i="10"/>
  <c r="I69" i="10" s="1"/>
  <c r="E381" i="10"/>
  <c r="I381" i="10" s="1"/>
  <c r="E65" i="10"/>
  <c r="I65" i="10" s="1"/>
  <c r="DA11" i="4"/>
  <c r="CY11" i="4"/>
  <c r="CX11" i="4"/>
  <c r="BK9" i="15"/>
  <c r="CZ11" i="4"/>
  <c r="DB11" i="4"/>
  <c r="DC11" i="4"/>
  <c r="DD11" i="4"/>
  <c r="DE11" i="4"/>
  <c r="DF11" i="4"/>
  <c r="V7" i="1"/>
  <c r="BM7" i="15"/>
  <c r="CW18" i="4"/>
  <c r="CX18" i="4"/>
  <c r="CY18" i="4"/>
  <c r="CZ18" i="4"/>
  <c r="DA18" i="4"/>
  <c r="DB18" i="4"/>
  <c r="DC18" i="4"/>
  <c r="DD18" i="4"/>
  <c r="DE18" i="4"/>
  <c r="DF18" i="4"/>
  <c r="DG18" i="4"/>
  <c r="BZ16" i="4"/>
  <c r="BF4" i="1" l="1"/>
  <c r="BF5" i="1"/>
  <c r="P4" i="11"/>
  <c r="K269" i="10" s="1"/>
  <c r="BF19" i="1"/>
  <c r="BF18" i="1"/>
  <c r="BF20" i="1"/>
  <c r="BF21" i="1"/>
  <c r="BF11" i="1"/>
  <c r="BF9" i="1"/>
  <c r="BF8" i="1"/>
  <c r="BF10" i="1"/>
  <c r="BF7" i="1"/>
  <c r="K89" i="10"/>
  <c r="K285" i="10"/>
  <c r="K338" i="10"/>
  <c r="K202" i="10"/>
  <c r="K339" i="10"/>
  <c r="F8" i="1"/>
  <c r="U27" i="1" s="1"/>
  <c r="W7" i="1"/>
  <c r="P5" i="11" s="1"/>
  <c r="O5" i="11"/>
  <c r="K278" i="10" s="1"/>
  <c r="M8" i="1"/>
  <c r="C33" i="11" s="1"/>
  <c r="CW19" i="4"/>
  <c r="CX19" i="4"/>
  <c r="CZ19" i="4"/>
  <c r="CY19" i="4"/>
  <c r="DA19" i="4"/>
  <c r="DB19" i="4"/>
  <c r="DC19" i="4"/>
  <c r="DD19" i="4"/>
  <c r="DE19" i="4"/>
  <c r="DF19" i="4"/>
  <c r="DG19" i="4"/>
  <c r="CA16" i="4"/>
  <c r="K284" i="10" l="1"/>
  <c r="O8" i="11"/>
  <c r="U29" i="1"/>
  <c r="U28" i="1"/>
  <c r="S29" i="1"/>
  <c r="U26" i="1"/>
  <c r="K14" i="10"/>
  <c r="K140" i="10"/>
  <c r="K321" i="10"/>
  <c r="K206" i="10"/>
  <c r="E36" i="10"/>
  <c r="E350" i="10"/>
  <c r="I350" i="10" s="1"/>
  <c r="E332" i="10"/>
  <c r="I332" i="10" s="1"/>
  <c r="E357" i="10"/>
  <c r="I357" i="10" s="1"/>
  <c r="E192" i="10"/>
  <c r="I192" i="10" s="1"/>
  <c r="E71" i="10"/>
  <c r="I71" i="10" s="1"/>
  <c r="E135" i="10"/>
  <c r="I135" i="10" s="1"/>
  <c r="N6" i="1"/>
  <c r="G8" i="1"/>
  <c r="P8" i="11" s="1"/>
  <c r="K31" i="10" s="1"/>
  <c r="D27" i="1"/>
  <c r="CB16" i="4"/>
  <c r="K4" i="10" l="1"/>
  <c r="K88" i="10"/>
  <c r="K188" i="10"/>
  <c r="K413" i="10"/>
  <c r="K75" i="10"/>
  <c r="K177" i="10"/>
  <c r="K427" i="10"/>
  <c r="K155" i="10"/>
  <c r="K196" i="10"/>
  <c r="K3" i="10"/>
  <c r="K72" i="10"/>
  <c r="K141" i="10"/>
  <c r="K171" i="10"/>
  <c r="K163" i="10"/>
  <c r="K79" i="10"/>
  <c r="K101" i="10"/>
  <c r="K306" i="10"/>
  <c r="K407" i="10"/>
  <c r="K411" i="10"/>
  <c r="K16" i="10"/>
  <c r="AJ29" i="1"/>
  <c r="I36" i="10"/>
  <c r="O6" i="1"/>
  <c r="P3" i="11" s="1"/>
  <c r="K13" i="10" s="1"/>
  <c r="O3" i="11"/>
  <c r="K12" i="10"/>
  <c r="K15" i="10"/>
  <c r="K152" i="10"/>
  <c r="CC16" i="4"/>
  <c r="CD16" i="4" l="1"/>
  <c r="CE16" i="4" l="1"/>
  <c r="CF16" i="4" l="1"/>
  <c r="CG16" i="4" l="1"/>
  <c r="CH16" i="4" l="1"/>
  <c r="CI16" i="4" l="1"/>
  <c r="BM4" i="15" s="1"/>
  <c r="CW16" i="4" s="1"/>
  <c r="DG16" i="4" l="1"/>
  <c r="CX16" i="4"/>
  <c r="CY16" i="4"/>
  <c r="CZ16" i="4"/>
  <c r="DA16" i="4"/>
  <c r="DB16" i="4"/>
  <c r="DC16" i="4"/>
  <c r="DD16" i="4"/>
  <c r="DE16" i="4"/>
  <c r="DF16" i="4"/>
  <c r="F6" i="1" l="1"/>
  <c r="K15" i="16" l="1"/>
  <c r="O9" i="11"/>
  <c r="K10" i="16"/>
  <c r="K29" i="16"/>
  <c r="K86" i="16"/>
  <c r="K27" i="16"/>
  <c r="K116" i="16"/>
  <c r="K77" i="16"/>
  <c r="G6" i="1"/>
  <c r="K42" i="16"/>
  <c r="K39" i="16"/>
  <c r="DR19" i="1"/>
  <c r="P9" i="11" l="1"/>
  <c r="BI19" i="1"/>
  <c r="BI21" i="1"/>
  <c r="BI18" i="1"/>
  <c r="BI20" i="1"/>
  <c r="BI7" i="1"/>
  <c r="BI6" i="1"/>
  <c r="BI8" i="1"/>
  <c r="K421" i="10"/>
  <c r="K105" i="10"/>
  <c r="K113" i="10"/>
  <c r="BI9" i="1"/>
  <c r="BI12" i="1"/>
  <c r="BI10" i="1"/>
  <c r="BI11" i="1"/>
  <c r="BI5" i="1"/>
  <c r="E21" i="15" l="1"/>
  <c r="DC8" i="4" l="1"/>
  <c r="CZ8" i="4"/>
  <c r="DF8" i="4"/>
  <c r="CX8" i="4"/>
  <c r="CY8" i="4"/>
  <c r="DE8" i="4"/>
  <c r="DA8" i="4"/>
  <c r="DD8" i="4"/>
  <c r="DG8" i="4"/>
  <c r="DB8" i="4"/>
  <c r="BK6" i="15"/>
  <c r="E8" i="1" l="1"/>
  <c r="C42" i="11" s="1"/>
  <c r="E413" i="10" l="1"/>
  <c r="I413" i="10" s="1"/>
  <c r="E15" i="10"/>
  <c r="E427" i="10"/>
  <c r="I427" i="10" s="1"/>
  <c r="E188" i="10"/>
  <c r="I188" i="10" s="1"/>
  <c r="E79" i="10"/>
  <c r="I79" i="10" s="1"/>
  <c r="E152" i="10"/>
  <c r="I152" i="10" s="1"/>
  <c r="E411" i="10"/>
  <c r="I411" i="10" s="1"/>
  <c r="E76" i="10"/>
  <c r="I76" i="10" s="1"/>
  <c r="E35" i="10"/>
  <c r="I35" i="10" s="1"/>
  <c r="E72" i="10"/>
  <c r="I72" i="10" s="1"/>
  <c r="E131" i="10"/>
  <c r="I131" i="10" s="1"/>
  <c r="E207" i="10"/>
  <c r="I207" i="10" s="1"/>
  <c r="E141" i="10"/>
  <c r="I141" i="10" s="1"/>
  <c r="E177" i="10"/>
  <c r="I177" i="10" s="1"/>
  <c r="E101" i="10"/>
  <c r="I101" i="10" s="1"/>
  <c r="E155" i="10"/>
  <c r="I155" i="10" s="1"/>
  <c r="E75" i="10"/>
  <c r="I75" i="10" s="1"/>
  <c r="E3" i="10"/>
  <c r="I3" i="10" s="1"/>
  <c r="E189" i="10"/>
  <c r="I189" i="10" s="1"/>
  <c r="E88" i="10"/>
  <c r="I88" i="10" s="1"/>
  <c r="E16" i="10"/>
  <c r="I16" i="10" s="1"/>
  <c r="E407" i="10"/>
  <c r="I407" i="10" s="1"/>
  <c r="E171" i="10"/>
  <c r="I171" i="10" s="1"/>
  <c r="E12" i="10"/>
  <c r="I12" i="10" s="1"/>
  <c r="E31" i="10"/>
  <c r="I31" i="10" s="1"/>
  <c r="E163" i="10"/>
  <c r="I163" i="10" s="1"/>
  <c r="E4" i="10"/>
  <c r="I4" i="10" s="1"/>
  <c r="E196" i="10"/>
  <c r="I196" i="10" s="1"/>
  <c r="E107" i="10"/>
  <c r="I107" i="10" s="1"/>
  <c r="E306" i="10"/>
  <c r="I306" i="10" s="1"/>
  <c r="D26" i="1"/>
  <c r="D25" i="1"/>
  <c r="AJ14" i="1" l="1"/>
  <c r="I15" i="10"/>
  <c r="AJ27" i="1"/>
  <c r="AJ28" i="1"/>
  <c r="AJ18" i="1"/>
  <c r="AJ12" i="1"/>
  <c r="E20" i="15"/>
  <c r="CY7" i="4" l="1"/>
  <c r="CX7" i="4"/>
  <c r="DD7" i="4"/>
  <c r="DG7" i="4"/>
  <c r="DE7" i="4"/>
  <c r="DB7" i="4"/>
  <c r="DF7" i="4"/>
  <c r="CZ7" i="4"/>
  <c r="DC7" i="4"/>
  <c r="DA7" i="4"/>
  <c r="BK5" i="15"/>
  <c r="E7" i="1" l="1"/>
  <c r="D10" i="16" l="1"/>
  <c r="D39" i="16"/>
  <c r="D86" i="16"/>
  <c r="D42" i="16"/>
  <c r="D29" i="16"/>
  <c r="D116" i="16"/>
  <c r="D27" i="16"/>
  <c r="D77" i="16"/>
  <c r="D15" i="16"/>
  <c r="D110" i="16"/>
  <c r="D51" i="16"/>
  <c r="D53" i="16"/>
  <c r="D107" i="16"/>
  <c r="D112" i="16"/>
  <c r="D18" i="16"/>
  <c r="D79" i="16"/>
  <c r="D22" i="16"/>
  <c r="BD21" i="1" s="1"/>
  <c r="D45" i="16"/>
  <c r="D38" i="16"/>
  <c r="D3" i="16"/>
  <c r="D106" i="16"/>
  <c r="D11" i="16"/>
  <c r="BD5" i="1" s="1"/>
  <c r="D49" i="16"/>
  <c r="D96" i="16"/>
  <c r="D101" i="16"/>
  <c r="D83" i="16"/>
  <c r="D58" i="16"/>
  <c r="D109" i="16"/>
  <c r="BD18" i="1" s="1"/>
  <c r="D41" i="16"/>
  <c r="D7" i="16"/>
  <c r="D43" i="16"/>
  <c r="D72" i="16"/>
  <c r="D104" i="16"/>
  <c r="D55" i="16"/>
  <c r="D92" i="16"/>
  <c r="BD11" i="1" s="1"/>
  <c r="D114" i="16"/>
  <c r="D30" i="16"/>
  <c r="D91" i="16"/>
  <c r="D94" i="16"/>
  <c r="D74" i="16"/>
  <c r="D103" i="16"/>
  <c r="D108" i="16"/>
  <c r="BD19" i="1" s="1"/>
  <c r="D90" i="16"/>
  <c r="D32" i="16"/>
  <c r="D35" i="16"/>
  <c r="D52" i="16"/>
  <c r="D50" i="16"/>
  <c r="D63" i="16"/>
  <c r="BD9" i="1" s="1"/>
  <c r="D85" i="16"/>
  <c r="D102" i="16"/>
  <c r="D115" i="16"/>
  <c r="D84" i="16"/>
  <c r="D87" i="16"/>
  <c r="D65" i="16"/>
  <c r="D99" i="16"/>
  <c r="D16" i="16"/>
  <c r="BD20" i="1" s="1"/>
  <c r="D46" i="16"/>
  <c r="D88" i="16"/>
  <c r="BD10" i="1" s="1"/>
  <c r="D97" i="16"/>
  <c r="D66" i="16"/>
  <c r="D62" i="16"/>
  <c r="D54" i="16"/>
  <c r="D81" i="16"/>
  <c r="D56" i="16"/>
  <c r="BD8" i="1" s="1"/>
  <c r="D24" i="16"/>
  <c r="D100" i="16"/>
  <c r="D48" i="16"/>
  <c r="D17" i="16"/>
  <c r="D78" i="16"/>
  <c r="D5" i="16"/>
  <c r="D12" i="16"/>
  <c r="D73" i="16"/>
  <c r="D82" i="16"/>
  <c r="D31" i="16"/>
  <c r="D14" i="16"/>
  <c r="D89" i="16"/>
  <c r="D9" i="16"/>
  <c r="D2" i="16"/>
  <c r="D8" i="16"/>
  <c r="D64" i="16"/>
  <c r="D23" i="16"/>
  <c r="D75" i="16"/>
  <c r="D59" i="16"/>
  <c r="D20" i="16"/>
  <c r="D71" i="16"/>
  <c r="D67" i="16"/>
  <c r="D21" i="16"/>
  <c r="D25" i="16"/>
  <c r="D44" i="16"/>
  <c r="D98" i="16"/>
  <c r="D6" i="16"/>
  <c r="D80" i="16"/>
  <c r="D111" i="16"/>
  <c r="D37" i="16"/>
  <c r="DQ4" i="1"/>
  <c r="BD4" i="1" s="1"/>
  <c r="D60" i="16"/>
  <c r="D105" i="16"/>
  <c r="D47" i="16"/>
  <c r="D33" i="16"/>
  <c r="D95" i="16"/>
  <c r="D26" i="16"/>
  <c r="D13" i="16"/>
  <c r="D93" i="16"/>
  <c r="D57" i="16"/>
  <c r="D69" i="16"/>
  <c r="D76" i="16"/>
  <c r="D40" i="16"/>
  <c r="D4" i="16"/>
  <c r="D113" i="16"/>
  <c r="D68" i="16"/>
  <c r="D36" i="16"/>
  <c r="D61" i="16"/>
  <c r="D34" i="16"/>
  <c r="D28" i="16"/>
  <c r="D19" i="16"/>
  <c r="D70" i="16"/>
  <c r="I110" i="16"/>
  <c r="I43" i="16"/>
  <c r="I41" i="16"/>
  <c r="I51" i="16"/>
  <c r="I104" i="16"/>
  <c r="I16" i="16"/>
  <c r="BK20" i="1" s="1"/>
  <c r="I90" i="16"/>
  <c r="I100" i="16"/>
  <c r="I53" i="16"/>
  <c r="BK7" i="1" s="1"/>
  <c r="I115" i="16"/>
  <c r="I84" i="16"/>
  <c r="I87" i="16"/>
  <c r="I91" i="16"/>
  <c r="I24" i="16"/>
  <c r="I94" i="16"/>
  <c r="I11" i="16"/>
  <c r="BK5" i="1" s="1"/>
  <c r="I17" i="16"/>
  <c r="I35" i="16"/>
  <c r="I96" i="16"/>
  <c r="I109" i="16"/>
  <c r="BK18" i="1" s="1"/>
  <c r="I66" i="16"/>
  <c r="I30" i="16"/>
  <c r="I7" i="16"/>
  <c r="I81" i="16"/>
  <c r="I45" i="16"/>
  <c r="I99" i="16"/>
  <c r="I52" i="16"/>
  <c r="I112" i="16"/>
  <c r="I62" i="16"/>
  <c r="I74" i="16"/>
  <c r="I102" i="16"/>
  <c r="I58" i="16"/>
  <c r="I88" i="16"/>
  <c r="BK10" i="1" s="1"/>
  <c r="I101" i="16"/>
  <c r="I63" i="16"/>
  <c r="BK9" i="1" s="1"/>
  <c r="I97" i="16"/>
  <c r="I18" i="16"/>
  <c r="I3" i="16"/>
  <c r="I103" i="16"/>
  <c r="I107" i="16"/>
  <c r="I114" i="16"/>
  <c r="I49" i="16"/>
  <c r="I108" i="16"/>
  <c r="BK19" i="1" s="1"/>
  <c r="I46" i="16"/>
  <c r="I79" i="16"/>
  <c r="I54" i="16"/>
  <c r="I50" i="16"/>
  <c r="I72" i="16"/>
  <c r="I85" i="16"/>
  <c r="I55" i="16"/>
  <c r="I38" i="16"/>
  <c r="BK6" i="1" s="1"/>
  <c r="I56" i="16"/>
  <c r="BK8" i="1" s="1"/>
  <c r="I92" i="16"/>
  <c r="BK11" i="1" s="1"/>
  <c r="I48" i="16"/>
  <c r="I65" i="16"/>
  <c r="I32" i="16"/>
  <c r="I83" i="16"/>
  <c r="I106" i="16"/>
  <c r="J25" i="1"/>
  <c r="C36" i="11"/>
  <c r="E28" i="1"/>
  <c r="J24" i="1"/>
  <c r="J26" i="1" s="1"/>
  <c r="BD6" i="1"/>
  <c r="BD7" i="1"/>
  <c r="E153" i="10" l="1"/>
  <c r="I153" i="10" s="1"/>
  <c r="E242" i="10"/>
  <c r="I242" i="10" s="1"/>
  <c r="E349" i="10"/>
  <c r="I349" i="10" s="1"/>
  <c r="E274" i="10"/>
  <c r="I274" i="10" s="1"/>
  <c r="E123" i="10"/>
  <c r="I123" i="10" s="1"/>
  <c r="E418" i="10"/>
  <c r="I418" i="10" s="1"/>
  <c r="E284" i="10"/>
  <c r="I284" i="10" s="1"/>
  <c r="E419" i="10"/>
  <c r="I419" i="10" s="1"/>
  <c r="E313" i="10"/>
  <c r="I313" i="10" s="1"/>
  <c r="E91" i="10"/>
  <c r="I91" i="10" s="1"/>
  <c r="E128" i="10"/>
  <c r="I128" i="10" s="1"/>
  <c r="E338" i="10"/>
  <c r="E339" i="10"/>
  <c r="I339" i="10" s="1"/>
  <c r="E202" i="10"/>
  <c r="I202" i="10" s="1"/>
  <c r="E89" i="10"/>
  <c r="I89" i="10" s="1"/>
  <c r="E377" i="10"/>
  <c r="I377" i="10" s="1"/>
  <c r="E430" i="10"/>
  <c r="I430" i="10" s="1"/>
  <c r="E285" i="10"/>
  <c r="I285" i="10" s="1"/>
  <c r="E392" i="10"/>
  <c r="I392" i="10" s="1"/>
  <c r="E394" i="10"/>
  <c r="I394" i="10" s="1"/>
  <c r="E269" i="10"/>
  <c r="I269" i="10" s="1"/>
  <c r="E86" i="10"/>
  <c r="I86" i="10" s="1"/>
  <c r="E337" i="10"/>
  <c r="I337" i="10" s="1"/>
  <c r="E342" i="10"/>
  <c r="I342" i="10" s="1"/>
  <c r="E191" i="10"/>
  <c r="I191" i="10" s="1"/>
  <c r="E19" i="15"/>
  <c r="AJ20" i="1" l="1"/>
  <c r="I338" i="10"/>
  <c r="AJ19" i="1"/>
  <c r="AJ15" i="1"/>
  <c r="AJ21" i="1"/>
  <c r="CY6" i="4"/>
  <c r="DG6" i="4"/>
  <c r="DB6" i="4"/>
  <c r="DF6" i="4"/>
  <c r="CZ6" i="4"/>
  <c r="DC6" i="4"/>
  <c r="DD6" i="4"/>
  <c r="DA6" i="4"/>
  <c r="CX6" i="4"/>
  <c r="DE6" i="4"/>
  <c r="BK4" i="15"/>
  <c r="E6" i="1" l="1"/>
  <c r="P26" i="1" l="1"/>
  <c r="F63" i="16"/>
  <c r="BG9" i="1" s="1"/>
  <c r="F114" i="16"/>
  <c r="F45" i="16"/>
  <c r="F55" i="16"/>
  <c r="F94" i="16"/>
  <c r="F48" i="16"/>
  <c r="F97" i="16"/>
  <c r="F100" i="16"/>
  <c r="F106" i="16"/>
  <c r="F54" i="16"/>
  <c r="F109" i="16"/>
  <c r="BG18" i="1" s="1"/>
  <c r="F46" i="16"/>
  <c r="F104" i="16"/>
  <c r="F74" i="16"/>
  <c r="F16" i="16"/>
  <c r="BG20" i="1" s="1"/>
  <c r="F112" i="16"/>
  <c r="F72" i="16"/>
  <c r="F101" i="16"/>
  <c r="F92" i="16"/>
  <c r="BG11" i="1" s="1"/>
  <c r="F53" i="16"/>
  <c r="BG7" i="1" s="1"/>
  <c r="F84" i="16"/>
  <c r="F96" i="16"/>
  <c r="F43" i="16"/>
  <c r="F38" i="16"/>
  <c r="BG6" i="1" s="1"/>
  <c r="F22" i="16"/>
  <c r="BG21" i="1" s="1"/>
  <c r="F62" i="16"/>
  <c r="F35" i="16"/>
  <c r="F56" i="16"/>
  <c r="BG8" i="1" s="1"/>
  <c r="F110" i="16"/>
  <c r="F91" i="16"/>
  <c r="F102" i="16"/>
  <c r="F49" i="16"/>
  <c r="F24" i="16"/>
  <c r="F107" i="16"/>
  <c r="F87" i="16"/>
  <c r="F90" i="16"/>
  <c r="F79" i="16"/>
  <c r="F7" i="16"/>
  <c r="F108" i="16"/>
  <c r="BG19" i="1" s="1"/>
  <c r="F51" i="16"/>
  <c r="F103" i="16"/>
  <c r="F81" i="16"/>
  <c r="F65" i="16"/>
  <c r="F11" i="16"/>
  <c r="BG5" i="1" s="1"/>
  <c r="F52" i="16"/>
  <c r="F85" i="16"/>
  <c r="F3" i="16"/>
  <c r="F18" i="16"/>
  <c r="F41" i="16"/>
  <c r="F58" i="16"/>
  <c r="F88" i="16"/>
  <c r="BG10" i="1" s="1"/>
  <c r="F30" i="16"/>
  <c r="F66" i="16"/>
  <c r="F83" i="16"/>
  <c r="F50" i="16"/>
  <c r="F115" i="16"/>
  <c r="F99" i="16"/>
  <c r="F32" i="16"/>
  <c r="F17" i="16"/>
  <c r="C43" i="11"/>
  <c r="DQ19" i="1"/>
  <c r="O24" i="1"/>
  <c r="Q24" i="1" s="1"/>
  <c r="E172" i="10" l="1"/>
  <c r="I172" i="10" s="1"/>
  <c r="E108" i="10"/>
  <c r="I108" i="10" s="1"/>
  <c r="E211" i="10"/>
  <c r="I211" i="10" s="1"/>
  <c r="E134" i="10"/>
  <c r="I134" i="10" s="1"/>
  <c r="E212" i="10"/>
  <c r="I212" i="10" s="1"/>
  <c r="E105" i="10"/>
  <c r="I105" i="10" s="1"/>
  <c r="E386" i="10"/>
  <c r="I386" i="10" s="1"/>
  <c r="E227" i="10"/>
  <c r="I227" i="10" s="1"/>
  <c r="E362" i="10"/>
  <c r="I362" i="10" s="1"/>
  <c r="E113" i="10"/>
  <c r="I113" i="10" s="1"/>
  <c r="E340" i="10"/>
  <c r="I340" i="10" s="1"/>
  <c r="E421" i="10"/>
  <c r="I421" i="10" s="1"/>
  <c r="E255" i="10"/>
  <c r="I255" i="10" s="1"/>
  <c r="R25" i="1"/>
  <c r="P25" i="1"/>
  <c r="M14" i="10"/>
  <c r="M429" i="10"/>
  <c r="M285" i="10"/>
  <c r="M293" i="10"/>
  <c r="M282" i="10"/>
  <c r="M389" i="10"/>
  <c r="M301" i="10"/>
  <c r="M133" i="10"/>
  <c r="M281" i="10"/>
  <c r="M76" i="10"/>
  <c r="M235" i="10"/>
  <c r="M414" i="10"/>
  <c r="M302" i="10"/>
  <c r="M189" i="10"/>
  <c r="M84" i="10"/>
  <c r="M104" i="10"/>
  <c r="M280" i="10"/>
  <c r="M240" i="10"/>
  <c r="M54" i="10"/>
  <c r="M203" i="10"/>
  <c r="M222" i="10"/>
  <c r="M93" i="10"/>
  <c r="M85" i="10"/>
  <c r="M264" i="10"/>
  <c r="M326" i="10"/>
  <c r="M405" i="10"/>
  <c r="M383" i="10"/>
  <c r="M290" i="10"/>
  <c r="M171" i="10"/>
  <c r="M425" i="10"/>
  <c r="M5" i="10"/>
  <c r="M63" i="10"/>
  <c r="M245" i="10"/>
  <c r="M174" i="10"/>
  <c r="M270" i="10"/>
  <c r="M193" i="10"/>
  <c r="M52" i="10"/>
  <c r="M332" i="10"/>
  <c r="M7" i="10"/>
  <c r="M80" i="10"/>
  <c r="M25" i="10"/>
  <c r="M219" i="10"/>
  <c r="M259" i="10"/>
  <c r="M77" i="10"/>
  <c r="M419" i="10"/>
  <c r="M195" i="10"/>
  <c r="M88" i="10"/>
  <c r="M36" i="10"/>
  <c r="M258" i="10"/>
  <c r="M328" i="10"/>
  <c r="M232" i="10"/>
  <c r="M216" i="10"/>
  <c r="M202" i="10"/>
  <c r="M60" i="10"/>
  <c r="M21" i="10"/>
  <c r="M100" i="10"/>
  <c r="M269" i="10"/>
  <c r="M410" i="10"/>
  <c r="M228" i="10"/>
  <c r="M123" i="10"/>
  <c r="M361" i="10"/>
  <c r="M220" i="10"/>
  <c r="M162" i="10"/>
  <c r="M344" i="10"/>
  <c r="M137" i="10"/>
  <c r="M365" i="10"/>
  <c r="M46" i="10"/>
  <c r="M41" i="10"/>
  <c r="M248" i="10"/>
  <c r="M304" i="10"/>
  <c r="M127" i="10"/>
  <c r="M206" i="10"/>
  <c r="M24" i="10"/>
  <c r="M286" i="10"/>
  <c r="M316" i="10"/>
  <c r="M101" i="10"/>
  <c r="M275" i="10"/>
  <c r="M262" i="10"/>
  <c r="M360" i="10"/>
  <c r="M185" i="10"/>
  <c r="M236" i="10"/>
  <c r="M428" i="10"/>
  <c r="M233" i="10"/>
  <c r="M250" i="10"/>
  <c r="M271" i="10"/>
  <c r="M315" i="10"/>
  <c r="M351" i="10"/>
  <c r="M399" i="10"/>
  <c r="M333" i="10"/>
  <c r="M345" i="10"/>
  <c r="M349" i="10"/>
  <c r="M376" i="10"/>
  <c r="M196" i="10"/>
  <c r="M44" i="10"/>
  <c r="M298" i="10"/>
  <c r="M284" i="10"/>
  <c r="M368" i="10"/>
  <c r="M199" i="10"/>
  <c r="M186" i="10"/>
  <c r="M149" i="10"/>
  <c r="M225" i="10"/>
  <c r="M321" i="10"/>
  <c r="M397" i="10"/>
  <c r="M403" i="10"/>
  <c r="M312" i="10"/>
  <c r="M97" i="10"/>
  <c r="M325" i="10"/>
  <c r="M165" i="10"/>
  <c r="M311" i="10"/>
  <c r="M61" i="10"/>
  <c r="M407" i="10"/>
  <c r="M238" i="10"/>
  <c r="AL31" i="1" s="1"/>
  <c r="M347" i="10"/>
  <c r="M111" i="10"/>
  <c r="M430" i="10"/>
  <c r="M156" i="10"/>
  <c r="M310" i="10"/>
  <c r="M372" i="10"/>
  <c r="M208" i="10"/>
  <c r="M320" i="10"/>
  <c r="M334" i="10"/>
  <c r="M303" i="10"/>
  <c r="M207" i="10"/>
  <c r="M110" i="10"/>
  <c r="M34" i="10"/>
  <c r="M265" i="10"/>
  <c r="M120" i="10"/>
  <c r="M309" i="10"/>
  <c r="M28" i="10"/>
  <c r="M116" i="10"/>
  <c r="M27" i="10"/>
  <c r="M249" i="10"/>
  <c r="M418" i="10"/>
  <c r="M181" i="10"/>
  <c r="M40" i="10"/>
  <c r="M221" i="10"/>
  <c r="M350" i="10"/>
  <c r="M408" i="10"/>
  <c r="M96" i="10"/>
  <c r="M366" i="10"/>
  <c r="M342" i="10"/>
  <c r="M215" i="10"/>
  <c r="M291" i="10"/>
  <c r="M204" i="10"/>
  <c r="M81" i="10"/>
  <c r="M343" i="10"/>
  <c r="M398" i="10"/>
  <c r="AL30" i="1" s="1"/>
  <c r="M89" i="10"/>
  <c r="M74" i="10"/>
  <c r="M15" i="10"/>
  <c r="M106" i="10"/>
  <c r="M19" i="10"/>
  <c r="M213" i="10"/>
  <c r="M371" i="10"/>
  <c r="M336" i="10"/>
  <c r="M378" i="10"/>
  <c r="M124" i="10"/>
  <c r="M35" i="10"/>
  <c r="M146" i="10"/>
  <c r="M154" i="10"/>
  <c r="M296" i="10"/>
  <c r="M385" i="10"/>
  <c r="M128" i="10"/>
  <c r="M254" i="10"/>
  <c r="M107" i="10"/>
  <c r="M86" i="10"/>
  <c r="M155" i="10"/>
  <c r="M164" i="10"/>
  <c r="M91" i="10"/>
  <c r="M367" i="10"/>
  <c r="M247" i="10"/>
  <c r="M305" i="10"/>
  <c r="M317" i="10"/>
  <c r="M381" i="10"/>
  <c r="M354" i="10"/>
  <c r="M218" i="10"/>
  <c r="M26" i="10"/>
  <c r="M22" i="10"/>
  <c r="M66" i="10"/>
  <c r="M267" i="10"/>
  <c r="M11" i="10"/>
  <c r="M374" i="10"/>
  <c r="M42" i="10"/>
  <c r="M327" i="10"/>
  <c r="M6" i="10"/>
  <c r="M226" i="10"/>
  <c r="M357" i="10"/>
  <c r="M415" i="10"/>
  <c r="M33" i="10"/>
  <c r="M125" i="10"/>
  <c r="M183" i="10"/>
  <c r="M422" i="10"/>
  <c r="M369" i="10"/>
  <c r="M395" i="10"/>
  <c r="M49" i="10"/>
  <c r="M176" i="10"/>
  <c r="M142" i="10"/>
  <c r="M194" i="10"/>
  <c r="M423" i="10"/>
  <c r="M387" i="10"/>
  <c r="M358" i="10"/>
  <c r="M47" i="10"/>
  <c r="M9" i="10"/>
  <c r="M23" i="10"/>
  <c r="M38" i="10"/>
  <c r="M179" i="10"/>
  <c r="M209" i="10"/>
  <c r="M126" i="10"/>
  <c r="M277" i="10"/>
  <c r="M64" i="10"/>
  <c r="M359" i="10"/>
  <c r="M159" i="10"/>
  <c r="M308" i="10"/>
  <c r="M167" i="10"/>
  <c r="M10" i="10"/>
  <c r="M83" i="10"/>
  <c r="M373" i="10"/>
  <c r="M70" i="10"/>
  <c r="M121" i="10"/>
  <c r="M278" i="10"/>
  <c r="M170" i="10"/>
  <c r="M122" i="10"/>
  <c r="M138" i="10"/>
  <c r="M75" i="10"/>
  <c r="M283" i="10"/>
  <c r="M400" i="10"/>
  <c r="AL26" i="1" s="1"/>
  <c r="M72" i="10"/>
  <c r="M18" i="10"/>
  <c r="M4" i="10"/>
  <c r="M98" i="10"/>
  <c r="M266" i="10"/>
  <c r="M180" i="10"/>
  <c r="M109" i="10"/>
  <c r="M273" i="10"/>
  <c r="M190" i="10"/>
  <c r="M198" i="10"/>
  <c r="M288" i="10"/>
  <c r="M346" i="10"/>
  <c r="M82" i="10"/>
  <c r="M348" i="10"/>
  <c r="M297" i="10"/>
  <c r="M417" i="10"/>
  <c r="M210" i="10"/>
  <c r="M50" i="10"/>
  <c r="M152" i="10"/>
  <c r="M141" i="10"/>
  <c r="M409" i="10"/>
  <c r="M268" i="10"/>
  <c r="M253" i="10"/>
  <c r="M352" i="10"/>
  <c r="M139" i="10"/>
  <c r="M131" i="10"/>
  <c r="M299" i="10"/>
  <c r="M59" i="10"/>
  <c r="M187" i="10"/>
  <c r="M145" i="10"/>
  <c r="M157" i="10"/>
  <c r="M143" i="10"/>
  <c r="M300" i="10"/>
  <c r="M67" i="10"/>
  <c r="M16" i="10"/>
  <c r="M338" i="10"/>
  <c r="M356" i="10"/>
  <c r="M324" i="10"/>
  <c r="M230" i="10"/>
  <c r="M3" i="10"/>
  <c r="M177" i="10"/>
  <c r="M71" i="10"/>
  <c r="M241" i="10"/>
  <c r="M329" i="10"/>
  <c r="M229" i="10"/>
  <c r="M318" i="10"/>
  <c r="M239" i="10"/>
  <c r="M375" i="10"/>
  <c r="M314" i="10"/>
  <c r="M364" i="10"/>
  <c r="M65" i="10"/>
  <c r="M242" i="10"/>
  <c r="M251" i="10"/>
  <c r="M289" i="10"/>
  <c r="M90" i="10"/>
  <c r="M424" i="10"/>
  <c r="M263" i="10"/>
  <c r="M244" i="10"/>
  <c r="M150" i="10"/>
  <c r="M173" i="10"/>
  <c r="M379" i="10"/>
  <c r="M17" i="10"/>
  <c r="M166" i="10"/>
  <c r="M151" i="10"/>
  <c r="M103" i="10"/>
  <c r="M391" i="10"/>
  <c r="M136" i="10"/>
  <c r="M201" i="10"/>
  <c r="M396" i="10"/>
  <c r="M341" i="10"/>
  <c r="M8" i="10"/>
  <c r="M115" i="10"/>
  <c r="M292" i="10"/>
  <c r="M92" i="10"/>
  <c r="M79" i="10"/>
  <c r="M413" i="10"/>
  <c r="M214" i="10"/>
  <c r="M252" i="10"/>
  <c r="M12" i="10"/>
  <c r="M51" i="10"/>
  <c r="M182" i="10"/>
  <c r="M394" i="10"/>
  <c r="M31" i="10"/>
  <c r="M224" i="10"/>
  <c r="M307" i="10"/>
  <c r="M129" i="10"/>
  <c r="M163" i="10"/>
  <c r="M260" i="10"/>
  <c r="M223" i="10"/>
  <c r="M130" i="10"/>
  <c r="M69" i="10"/>
  <c r="M363" i="10"/>
  <c r="M148" i="10"/>
  <c r="M13" i="10"/>
  <c r="M158" i="10"/>
  <c r="M78" i="10"/>
  <c r="M243" i="10"/>
  <c r="M117" i="10"/>
  <c r="M95" i="10"/>
  <c r="M384" i="10"/>
  <c r="M147" i="10"/>
  <c r="M153" i="10"/>
  <c r="M261" i="10"/>
  <c r="M370" i="10"/>
  <c r="M331" i="10"/>
  <c r="M20" i="10"/>
  <c r="M323" i="10"/>
  <c r="M168" i="10"/>
  <c r="M426" i="10"/>
  <c r="M43" i="10"/>
  <c r="M68" i="10"/>
  <c r="M404" i="10"/>
  <c r="M231" i="10"/>
  <c r="M140" i="10"/>
  <c r="M322" i="10"/>
  <c r="M256" i="10"/>
  <c r="M57" i="10"/>
  <c r="M337" i="10"/>
  <c r="M237" i="10"/>
  <c r="M39" i="10"/>
  <c r="M257" i="10"/>
  <c r="M234" i="10"/>
  <c r="M377" i="10"/>
  <c r="M406" i="10"/>
  <c r="M73" i="10"/>
  <c r="M94" i="10"/>
  <c r="M246" i="10"/>
  <c r="M160" i="10"/>
  <c r="M355" i="10"/>
  <c r="M427" i="10"/>
  <c r="M161" i="10"/>
  <c r="M319" i="10"/>
  <c r="M380" i="10"/>
  <c r="M272" i="10"/>
  <c r="M390" i="10"/>
  <c r="M30" i="10"/>
  <c r="M274" i="10"/>
  <c r="M330" i="10"/>
  <c r="M353" i="10"/>
  <c r="M335" i="10"/>
  <c r="M102" i="10"/>
  <c r="M382" i="10"/>
  <c r="M197" i="10"/>
  <c r="M87" i="10"/>
  <c r="M132" i="10"/>
  <c r="M184" i="10"/>
  <c r="M169" i="10"/>
  <c r="M205" i="10"/>
  <c r="M401" i="10"/>
  <c r="M192" i="10"/>
  <c r="M200" i="10"/>
  <c r="M279" i="10"/>
  <c r="M175" i="10"/>
  <c r="M144" i="10"/>
  <c r="M29" i="10"/>
  <c r="M58" i="10"/>
  <c r="M412" i="10"/>
  <c r="M56" i="10"/>
  <c r="M306" i="10"/>
  <c r="M416" i="10"/>
  <c r="M295" i="10"/>
  <c r="M339" i="10"/>
  <c r="M99" i="10"/>
  <c r="M112" i="10"/>
  <c r="M287" i="10"/>
  <c r="M119" i="10"/>
  <c r="M392" i="10"/>
  <c r="M313" i="10"/>
  <c r="M411" i="10"/>
  <c r="M32" i="10"/>
  <c r="M294" i="10"/>
  <c r="M191" i="10"/>
  <c r="M118" i="10"/>
  <c r="M420" i="10"/>
  <c r="M45" i="10"/>
  <c r="M178" i="10"/>
  <c r="M114" i="10"/>
  <c r="M37" i="10"/>
  <c r="M217" i="10"/>
  <c r="M62" i="10"/>
  <c r="M393" i="10"/>
  <c r="M188" i="10"/>
  <c r="M388" i="10"/>
  <c r="M135" i="10"/>
  <c r="M53" i="10"/>
  <c r="M402" i="10"/>
  <c r="M276" i="10"/>
  <c r="AL28" i="1" l="1"/>
  <c r="AL9" i="1"/>
  <c r="AL32" i="1"/>
  <c r="AJ23" i="1"/>
  <c r="AJ22" i="1"/>
  <c r="AL29" i="1"/>
  <c r="AL27" i="1"/>
  <c r="AL25" i="1"/>
  <c r="AL16" i="1"/>
  <c r="AL17" i="1"/>
  <c r="AL24" i="1"/>
  <c r="AL14" i="1"/>
  <c r="AL21" i="1"/>
  <c r="AL20" i="1"/>
  <c r="AL15" i="1"/>
  <c r="AL19" i="1"/>
  <c r="AL18" i="1"/>
  <c r="AL12" i="1"/>
  <c r="AL11" i="1"/>
  <c r="AL10" i="1"/>
  <c r="AL13" i="1"/>
  <c r="M340" i="10"/>
  <c r="AL23" i="1" s="1"/>
  <c r="M362" i="10"/>
  <c r="M211" i="10"/>
  <c r="M113" i="10"/>
  <c r="M108" i="10"/>
  <c r="M172" i="10"/>
  <c r="M134" i="10"/>
  <c r="M212" i="10"/>
  <c r="M386" i="10"/>
  <c r="M105" i="10"/>
  <c r="M255" i="10"/>
  <c r="M227" i="10"/>
  <c r="M421" i="10"/>
  <c r="AL22" i="1" l="1"/>
</calcChain>
</file>

<file path=xl/comments1.xml><?xml version="1.0" encoding="utf-8"?>
<comments xmlns="http://schemas.openxmlformats.org/spreadsheetml/2006/main">
  <authors>
    <author>John Abbott</author>
  </authors>
  <commentList>
    <comment ref="CS1" authorId="0">
      <text>
        <r>
          <rPr>
            <sz val="9"/>
            <color indexed="81"/>
            <rFont val="Tahoma"/>
            <family val="2"/>
          </rPr>
          <t>For Custom Weapons, enter the base weapon stats before the addition of attribute and abilities and it will be calculated on Page 3</t>
        </r>
      </text>
    </comment>
    <comment ref="Y8" authorId="0">
      <text>
        <r>
          <rPr>
            <b/>
            <sz val="9"/>
            <color indexed="81"/>
            <rFont val="Tahoma"/>
            <family val="2"/>
          </rPr>
          <t>For the purpose of dice pool calculation, the first row is reserved for your highest ranking Pantheon Specific Purview Boon. For Scions of the Amatsukami and Loa, if you do not have the highest ranking boon listed in the first row, your dice pools on P.S.P. boons may not calculate correctly - this calculation error will not be in your favor.
Please note that this does not indicate or imply that you are required to take P.S.P. boons, nor does it imply that you get one automatically.</t>
        </r>
      </text>
    </comment>
    <comment ref="O24" authorId="0">
      <text>
        <r>
          <rPr>
            <b/>
            <sz val="9"/>
            <color indexed="81"/>
            <rFont val="Tahoma"/>
            <family val="2"/>
          </rPr>
          <t>Max Jump height</t>
        </r>
      </text>
    </comment>
    <comment ref="Q24" authorId="0">
      <text>
        <r>
          <rPr>
            <b/>
            <sz val="9"/>
            <color indexed="81"/>
            <rFont val="Tahoma"/>
            <family val="2"/>
          </rPr>
          <t>Max Jump Distance</t>
        </r>
      </text>
    </comment>
    <comment ref="S31" authorId="0">
      <text>
        <r>
          <rPr>
            <b/>
            <sz val="9"/>
            <color indexed="81"/>
            <rFont val="Tahoma"/>
            <family val="2"/>
          </rPr>
          <t>Your Willpower is the sum of your two highest Virtues. If you gain a dot to one of your two highest Virtues from any source, add the Willpower dot under the Freebies section of the dot tracking worksheet.</t>
        </r>
      </text>
    </comment>
  </commentList>
</comments>
</file>

<file path=xl/comments2.xml><?xml version="1.0" encoding="utf-8"?>
<comments xmlns="http://schemas.openxmlformats.org/spreadsheetml/2006/main">
  <authors>
    <author>John Abbott</author>
  </authors>
  <commentList>
    <comment ref="Y3" authorId="0">
      <text>
        <r>
          <rPr>
            <b/>
            <sz val="9"/>
            <color indexed="81"/>
            <rFont val="Tahoma"/>
            <family val="2"/>
          </rPr>
          <t>At least 6 of your 30 ability dots MUST be spread across your associated abilities list on Page 1</t>
        </r>
      </text>
    </comment>
    <comment ref="BG3" authorId="0">
      <text>
        <r>
          <rPr>
            <b/>
            <sz val="9"/>
            <color indexed="81"/>
            <rFont val="Tahoma"/>
            <family val="2"/>
          </rPr>
          <t>If you used bonus points to purchase a boon, change the left column here to yes so it will calculate correctly</t>
        </r>
      </text>
    </comment>
    <comment ref="M20" authorId="0">
      <text>
        <r>
          <rPr>
            <b/>
            <sz val="9"/>
            <color indexed="81"/>
            <rFont val="Tahoma"/>
            <family val="2"/>
          </rPr>
          <t>Your willpower is your two highest Virtues combined</t>
        </r>
      </text>
    </comment>
    <comment ref="A36" authorId="0">
      <text>
        <r>
          <rPr>
            <b/>
            <sz val="9"/>
            <color indexed="81"/>
            <rFont val="Tahoma"/>
            <family val="2"/>
          </rPr>
          <t>Bonus points can be spent on anything you want at any point of character creation. You do NOT have to wait until the end.</t>
        </r>
      </text>
    </comment>
  </commentList>
</comments>
</file>

<file path=xl/comments3.xml><?xml version="1.0" encoding="utf-8"?>
<comments xmlns="http://schemas.openxmlformats.org/spreadsheetml/2006/main">
  <authors>
    <author>John Abbott</author>
  </authors>
  <commentList>
    <comment ref="U27" authorId="0">
      <text>
        <r>
          <rPr>
            <b/>
            <sz val="9"/>
            <color indexed="81"/>
            <rFont val="Tahoma"/>
            <family val="2"/>
          </rPr>
          <t>Your willpower is your two highest Virtues combined</t>
        </r>
      </text>
    </comment>
    <comment ref="BI29" authorId="0">
      <text>
        <r>
          <rPr>
            <b/>
            <sz val="9"/>
            <color indexed="81"/>
            <rFont val="Tahoma"/>
            <family val="2"/>
          </rPr>
          <t>In dot columns, only count NEW dots added to the birthrights on this list.</t>
        </r>
      </text>
    </comment>
    <comment ref="A36" authorId="0">
      <text>
        <r>
          <rPr>
            <b/>
            <sz val="9"/>
            <color indexed="81"/>
            <rFont val="Tahoma"/>
            <family val="2"/>
          </rPr>
          <t>Bonus points can be spent on anything you want at any point of character creation. You do NOT have to wait until the end.</t>
        </r>
      </text>
    </comment>
  </commentList>
</comments>
</file>

<file path=xl/comments4.xml><?xml version="1.0" encoding="utf-8"?>
<comments xmlns="http://schemas.openxmlformats.org/spreadsheetml/2006/main">
  <authors>
    <author>John Abbott</author>
  </authors>
  <commentList>
    <comment ref="U27" authorId="0">
      <text>
        <r>
          <rPr>
            <b/>
            <sz val="9"/>
            <color indexed="81"/>
            <rFont val="Tahoma"/>
            <family val="2"/>
          </rPr>
          <t>Your willpower is your two highest Virtues combined</t>
        </r>
      </text>
    </comment>
    <comment ref="BI29" authorId="0">
      <text>
        <r>
          <rPr>
            <b/>
            <sz val="9"/>
            <color indexed="81"/>
            <rFont val="Tahoma"/>
            <family val="2"/>
          </rPr>
          <t>In dot columns, only count NEW dots added to the birthrights on this list.</t>
        </r>
      </text>
    </comment>
    <comment ref="A36" authorId="0">
      <text>
        <r>
          <rPr>
            <b/>
            <sz val="9"/>
            <color indexed="81"/>
            <rFont val="Tahoma"/>
            <family val="2"/>
          </rPr>
          <t>Bonus points can be spent on anything you want at any point of character creation. You do NOT have to wait until the end.</t>
        </r>
      </text>
    </comment>
  </commentList>
</comments>
</file>

<file path=xl/sharedStrings.xml><?xml version="1.0" encoding="utf-8"?>
<sst xmlns="http://schemas.openxmlformats.org/spreadsheetml/2006/main" count="16423" uniqueCount="1848">
  <si>
    <t>Name</t>
  </si>
  <si>
    <t>Calling</t>
  </si>
  <si>
    <t>Player</t>
  </si>
  <si>
    <t>Pantheon</t>
  </si>
  <si>
    <t>Nature</t>
  </si>
  <si>
    <t>God</t>
  </si>
  <si>
    <t>Book Level</t>
  </si>
  <si>
    <t>Current Step</t>
  </si>
  <si>
    <t>Attributes</t>
  </si>
  <si>
    <t>Associated Abilities</t>
  </si>
  <si>
    <t>Dots</t>
  </si>
  <si>
    <t>Bonus</t>
  </si>
  <si>
    <t>Ability</t>
  </si>
  <si>
    <t>Dexterity</t>
  </si>
  <si>
    <t>Stamina</t>
  </si>
  <si>
    <t>Priority</t>
  </si>
  <si>
    <t>Charisma</t>
  </si>
  <si>
    <t>Manipulation</t>
  </si>
  <si>
    <t>Appearance</t>
  </si>
  <si>
    <t>Perception</t>
  </si>
  <si>
    <t>Intelligence</t>
  </si>
  <si>
    <t>Wits</t>
  </si>
  <si>
    <t>First</t>
  </si>
  <si>
    <t>Second</t>
  </si>
  <si>
    <t>Third</t>
  </si>
  <si>
    <t>Fourth</t>
  </si>
  <si>
    <t>Fifth</t>
  </si>
  <si>
    <t>Sixth</t>
  </si>
  <si>
    <t>Total</t>
  </si>
  <si>
    <t>Rule Met</t>
  </si>
  <si>
    <t>Strength</t>
  </si>
  <si>
    <t>Virtues</t>
  </si>
  <si>
    <t>Remaining</t>
  </si>
  <si>
    <t>Cost</t>
  </si>
  <si>
    <t>Specialty</t>
  </si>
  <si>
    <t>Academics</t>
  </si>
  <si>
    <t>Animal Ken</t>
  </si>
  <si>
    <t>Athletics</t>
  </si>
  <si>
    <t>Awareness</t>
  </si>
  <si>
    <t>Brawl</t>
  </si>
  <si>
    <t>Command</t>
  </si>
  <si>
    <t>Empathy</t>
  </si>
  <si>
    <t>Fortitude</t>
  </si>
  <si>
    <t>Integrity</t>
  </si>
  <si>
    <t>Investigation</t>
  </si>
  <si>
    <t>Larceny</t>
  </si>
  <si>
    <t>Marksmanship</t>
  </si>
  <si>
    <t>Medicine</t>
  </si>
  <si>
    <t>Melee</t>
  </si>
  <si>
    <t>Occult</t>
  </si>
  <si>
    <t>Politics</t>
  </si>
  <si>
    <t>Presence</t>
  </si>
  <si>
    <t>Stealth</t>
  </si>
  <si>
    <t>Survival</t>
  </si>
  <si>
    <t>Thrown</t>
  </si>
  <si>
    <t>Art</t>
  </si>
  <si>
    <t>Control</t>
  </si>
  <si>
    <t>Craft</t>
  </si>
  <si>
    <t>Science</t>
  </si>
  <si>
    <t>Select</t>
  </si>
  <si>
    <t>Legend</t>
  </si>
  <si>
    <t>Starting Legend</t>
  </si>
  <si>
    <t>Knack</t>
  </si>
  <si>
    <t>Associated Purviews</t>
  </si>
  <si>
    <t>Associated Attributes</t>
  </si>
  <si>
    <t>Base</t>
  </si>
  <si>
    <t>Epic</t>
  </si>
  <si>
    <t>Epic Attributes</t>
  </si>
  <si>
    <t>Boons</t>
  </si>
  <si>
    <t>Abilities</t>
  </si>
  <si>
    <t>Purview</t>
  </si>
  <si>
    <t>Rank</t>
  </si>
  <si>
    <t>Favored</t>
  </si>
  <si>
    <t>Advantages Taken</t>
  </si>
  <si>
    <t>Birthrights</t>
  </si>
  <si>
    <t>Type</t>
  </si>
  <si>
    <t>Dot</t>
  </si>
  <si>
    <t>Subtype</t>
  </si>
  <si>
    <t>First Three Dots</t>
  </si>
  <si>
    <t>Fourth and Fifth Dots</t>
  </si>
  <si>
    <t>Bonus Points</t>
  </si>
  <si>
    <t>Quantity</t>
  </si>
  <si>
    <t>Points</t>
  </si>
  <si>
    <t>Willpower</t>
  </si>
  <si>
    <t>Legend Rating</t>
  </si>
  <si>
    <t>Birthright</t>
  </si>
  <si>
    <t>Total Spent</t>
  </si>
  <si>
    <t>Arete</t>
  </si>
  <si>
    <t>COMBAT, MOVE, MISC</t>
  </si>
  <si>
    <t>Bashing</t>
  </si>
  <si>
    <t>Lethal</t>
  </si>
  <si>
    <t>Aggravated</t>
  </si>
  <si>
    <t>Armor</t>
  </si>
  <si>
    <t>Mobility</t>
  </si>
  <si>
    <t>Move</t>
  </si>
  <si>
    <t>Dodge DV</t>
  </si>
  <si>
    <t>Dash</t>
  </si>
  <si>
    <t>Join Battle</t>
  </si>
  <si>
    <t>+</t>
  </si>
  <si>
    <t>Jump</t>
  </si>
  <si>
    <t>Climb</t>
  </si>
  <si>
    <t>Rating</t>
  </si>
  <si>
    <t>VIRTUES</t>
  </si>
  <si>
    <t>Spent</t>
  </si>
  <si>
    <t>Exeperience</t>
  </si>
  <si>
    <t>ADJUSTERS</t>
  </si>
  <si>
    <t>Earned</t>
  </si>
  <si>
    <t>Monkey Climber</t>
  </si>
  <si>
    <t>Divine Wrath</t>
  </si>
  <si>
    <t>Holy Bound</t>
  </si>
  <si>
    <t>Hurl To The Horizon</t>
  </si>
  <si>
    <t>Uplifting Might</t>
  </si>
  <si>
    <t>Body Armor</t>
  </si>
  <si>
    <t>Lightning Sprinter</t>
  </si>
  <si>
    <t>Lift Capacity</t>
  </si>
  <si>
    <t>Health</t>
  </si>
  <si>
    <t>B</t>
  </si>
  <si>
    <t>L</t>
  </si>
  <si>
    <t>A</t>
  </si>
  <si>
    <t>Incap</t>
  </si>
  <si>
    <t>lvls</t>
  </si>
  <si>
    <t>Attacks</t>
  </si>
  <si>
    <t>Weapon</t>
  </si>
  <si>
    <t>Spd</t>
  </si>
  <si>
    <t>Accuracy</t>
  </si>
  <si>
    <t>Damage</t>
  </si>
  <si>
    <t>B/L</t>
  </si>
  <si>
    <t>Parry</t>
  </si>
  <si>
    <t>Range</t>
  </si>
  <si>
    <t>Relic Bonuses</t>
  </si>
  <si>
    <t>clip</t>
  </si>
  <si>
    <t>Speed</t>
  </si>
  <si>
    <t>Acc</t>
  </si>
  <si>
    <t>Other Equipment and Possessions</t>
  </si>
  <si>
    <t>Advantages</t>
  </si>
  <si>
    <t>Associated Epic Attributes</t>
  </si>
  <si>
    <t>Pantheon Purview</t>
  </si>
  <si>
    <t>Dice</t>
  </si>
  <si>
    <t>Page</t>
  </si>
  <si>
    <t>Book</t>
  </si>
  <si>
    <t>Demigod</t>
  </si>
  <si>
    <t>Hero</t>
  </si>
  <si>
    <t>Relic</t>
  </si>
  <si>
    <t>Creature</t>
  </si>
  <si>
    <t>Guide</t>
  </si>
  <si>
    <t>Follower</t>
  </si>
  <si>
    <t>Benefits / Notes</t>
  </si>
  <si>
    <t>Physical</t>
  </si>
  <si>
    <t>Social</t>
  </si>
  <si>
    <t>Mental</t>
  </si>
  <si>
    <t>Penalty</t>
  </si>
  <si>
    <t>Old</t>
  </si>
  <si>
    <t>New</t>
  </si>
  <si>
    <t>Old Book</t>
  </si>
  <si>
    <t>New Book</t>
  </si>
  <si>
    <t>New Birthrights</t>
  </si>
  <si>
    <t>Improved Birthrights</t>
  </si>
  <si>
    <t>Favor</t>
  </si>
  <si>
    <t>Virtue 1</t>
  </si>
  <si>
    <t>Virtue 2</t>
  </si>
  <si>
    <t>Virtue 3</t>
  </si>
  <si>
    <t>Virtue 4</t>
  </si>
  <si>
    <t>Aesir</t>
  </si>
  <si>
    <t>Jotunblut</t>
  </si>
  <si>
    <t>Courage</t>
  </si>
  <si>
    <t>Endurance</t>
  </si>
  <si>
    <t>Expression</t>
  </si>
  <si>
    <t>Loyalty</t>
  </si>
  <si>
    <t>Amatsukami</t>
  </si>
  <si>
    <t>Tsukumo-Gami</t>
  </si>
  <si>
    <t>Duty</t>
  </si>
  <si>
    <t>Intellect</t>
  </si>
  <si>
    <t>Valor</t>
  </si>
  <si>
    <t>Atzlanti</t>
  </si>
  <si>
    <t>Itztli</t>
  </si>
  <si>
    <t>Conviction</t>
  </si>
  <si>
    <t>Celestial Bureaucracy</t>
  </si>
  <si>
    <t>Taiyi</t>
  </si>
  <si>
    <t>Harmony</t>
  </si>
  <si>
    <t>Devas</t>
  </si>
  <si>
    <t>Samsara</t>
  </si>
  <si>
    <t>Order</t>
  </si>
  <si>
    <t>Dodekatheon</t>
  </si>
  <si>
    <t>Vengeance</t>
  </si>
  <si>
    <t>Loa</t>
  </si>
  <si>
    <t>Cheval</t>
  </si>
  <si>
    <t>Piety</t>
  </si>
  <si>
    <t>Pesedjet</t>
  </si>
  <si>
    <t>Heku</t>
  </si>
  <si>
    <t>Tuatha</t>
  </si>
  <si>
    <t>Enech</t>
  </si>
  <si>
    <t>Yazata</t>
  </si>
  <si>
    <t>Asha</t>
  </si>
  <si>
    <t>Yankee Pantheon</t>
  </si>
  <si>
    <t>Industry</t>
  </si>
  <si>
    <t>The Allied Pantheon</t>
  </si>
  <si>
    <t>Civitas</t>
  </si>
  <si>
    <t>Skill 1</t>
  </si>
  <si>
    <t>Skill 2</t>
  </si>
  <si>
    <t>Skill 3</t>
  </si>
  <si>
    <t>Skill 4</t>
  </si>
  <si>
    <t>Skill 5</t>
  </si>
  <si>
    <t>Skill 6</t>
  </si>
  <si>
    <t xml:space="preserve"> -- Aesir</t>
  </si>
  <si>
    <t>Baldur</t>
  </si>
  <si>
    <t>Freya</t>
  </si>
  <si>
    <t>Freyr</t>
  </si>
  <si>
    <t>Frjgg</t>
  </si>
  <si>
    <t>Heimdall</t>
  </si>
  <si>
    <t>melee</t>
  </si>
  <si>
    <t>Hel</t>
  </si>
  <si>
    <t>Loki</t>
  </si>
  <si>
    <t>Njord</t>
  </si>
  <si>
    <t>Odin</t>
  </si>
  <si>
    <t>Sif</t>
  </si>
  <si>
    <t>Thor</t>
  </si>
  <si>
    <t>Tyr</t>
  </si>
  <si>
    <t>Vidar</t>
  </si>
  <si>
    <t xml:space="preserve"> -- Amatsukami</t>
  </si>
  <si>
    <t>Amaterasu</t>
  </si>
  <si>
    <t>Hachiman</t>
  </si>
  <si>
    <t>Izanagi</t>
  </si>
  <si>
    <t>Izanami</t>
  </si>
  <si>
    <t>Marishiten</t>
  </si>
  <si>
    <t>Raiden</t>
  </si>
  <si>
    <t>Susano-o</t>
  </si>
  <si>
    <t>Tsuki-yomi</t>
  </si>
  <si>
    <t xml:space="preserve"> -- Atzlanti</t>
  </si>
  <si>
    <t>Huitzilopochtli</t>
  </si>
  <si>
    <t>Miclantecuhtli</t>
  </si>
  <si>
    <t>Quetzacoatl</t>
  </si>
  <si>
    <t>Tezcatlipoca</t>
  </si>
  <si>
    <t>Tlaloc</t>
  </si>
  <si>
    <t>Tlazolteotl</t>
  </si>
  <si>
    <t>Xipe Totec</t>
  </si>
  <si>
    <t xml:space="preserve"> -- Celestial Bureaucracy</t>
  </si>
  <si>
    <t>Chang'E</t>
  </si>
  <si>
    <t>Fuxi</t>
  </si>
  <si>
    <t>Guan Yu</t>
  </si>
  <si>
    <t>Guanyin</t>
  </si>
  <si>
    <t>Houyi</t>
  </si>
  <si>
    <t>Huang Di</t>
  </si>
  <si>
    <t>Nezha</t>
  </si>
  <si>
    <t>Nuwa</t>
  </si>
  <si>
    <t>Shennong</t>
  </si>
  <si>
    <t>Sun Wukong</t>
  </si>
  <si>
    <t>Xiwangmu</t>
  </si>
  <si>
    <t>Yanluo</t>
  </si>
  <si>
    <t xml:space="preserve"> -- Devas</t>
  </si>
  <si>
    <t>Agni</t>
  </si>
  <si>
    <t>Brahma</t>
  </si>
  <si>
    <t>Ganesha</t>
  </si>
  <si>
    <t>Indra</t>
  </si>
  <si>
    <t>Kali</t>
  </si>
  <si>
    <t>Lakshmi</t>
  </si>
  <si>
    <t>Parvati</t>
  </si>
  <si>
    <t>Sarasvati</t>
  </si>
  <si>
    <t>Shiva</t>
  </si>
  <si>
    <t>Vishnu</t>
  </si>
  <si>
    <t>Yama</t>
  </si>
  <si>
    <t xml:space="preserve"> -- Dodekatheon</t>
  </si>
  <si>
    <t>Aphrodite</t>
  </si>
  <si>
    <t>Apollo</t>
  </si>
  <si>
    <t>Ares</t>
  </si>
  <si>
    <t>Artemis</t>
  </si>
  <si>
    <t>Athena</t>
  </si>
  <si>
    <t>Caligula</t>
  </si>
  <si>
    <t>Dionysus</t>
  </si>
  <si>
    <t>Hades</t>
  </si>
  <si>
    <t>Hephaestus</t>
  </si>
  <si>
    <t>Hera</t>
  </si>
  <si>
    <t>Hermes</t>
  </si>
  <si>
    <t>Poseidon</t>
  </si>
  <si>
    <t>Quirinus</t>
  </si>
  <si>
    <t>Zues</t>
  </si>
  <si>
    <t xml:space="preserve"> -- Loa</t>
  </si>
  <si>
    <t>Baron Samedi</t>
  </si>
  <si>
    <t>Damballa</t>
  </si>
  <si>
    <t>Erzulie</t>
  </si>
  <si>
    <t>Kalfu</t>
  </si>
  <si>
    <t>Legba</t>
  </si>
  <si>
    <t>Ogoun</t>
  </si>
  <si>
    <t>Shango</t>
  </si>
  <si>
    <t xml:space="preserve"> -- Pesedjet</t>
  </si>
  <si>
    <t>Anubis</t>
  </si>
  <si>
    <t>Atum-Re</t>
  </si>
  <si>
    <t>Bastet</t>
  </si>
  <si>
    <t>Geb</t>
  </si>
  <si>
    <t>Horus</t>
  </si>
  <si>
    <t>Osiris</t>
  </si>
  <si>
    <t>Ptah</t>
  </si>
  <si>
    <t>Set</t>
  </si>
  <si>
    <t>Sobek</t>
  </si>
  <si>
    <t>Thoth</t>
  </si>
  <si>
    <t xml:space="preserve"> -- Tuatha</t>
  </si>
  <si>
    <t>Aengus</t>
  </si>
  <si>
    <t>Brigid</t>
  </si>
  <si>
    <t>Danu</t>
  </si>
  <si>
    <t>Dian Cecht</t>
  </si>
  <si>
    <t>Lugh</t>
  </si>
  <si>
    <t>Manannan Mac Lir</t>
  </si>
  <si>
    <t>Nuada</t>
  </si>
  <si>
    <t>Ogma</t>
  </si>
  <si>
    <t xml:space="preserve"> -- Yazata</t>
  </si>
  <si>
    <t>Anahita</t>
  </si>
  <si>
    <t>Ard</t>
  </si>
  <si>
    <t>Haoma</t>
  </si>
  <si>
    <t>Mah</t>
  </si>
  <si>
    <t>Mithra</t>
  </si>
  <si>
    <t>Sraosha</t>
  </si>
  <si>
    <t>Tishirna</t>
  </si>
  <si>
    <t>Vahram</t>
  </si>
  <si>
    <t>Vanu</t>
  </si>
  <si>
    <t>Zam</t>
  </si>
  <si>
    <t xml:space="preserve"> -- Yankee Pantheon</t>
  </si>
  <si>
    <t>Betsy Ross</t>
  </si>
  <si>
    <t>Br'er Rabbit</t>
  </si>
  <si>
    <t>Columbia</t>
  </si>
  <si>
    <t>John Henry</t>
  </si>
  <si>
    <t>Johnny Appleseed</t>
  </si>
  <si>
    <t>Paul Bunyan</t>
  </si>
  <si>
    <t>Pecos Bill</t>
  </si>
  <si>
    <t>Rosie the Riveter</t>
  </si>
  <si>
    <t>Uncle Sam</t>
  </si>
  <si>
    <t xml:space="preserve"> -- Allied Pantheon</t>
  </si>
  <si>
    <t>Lady Britiannia</t>
  </si>
  <si>
    <t>John Bull</t>
  </si>
  <si>
    <t>Robin Hood</t>
  </si>
  <si>
    <t>D'Artagnan</t>
  </si>
  <si>
    <t>Madame Guillotine</t>
  </si>
  <si>
    <t>Marianne</t>
  </si>
  <si>
    <t>Baba Yaga</t>
  </si>
  <si>
    <t>The Citizen</t>
  </si>
  <si>
    <t>Rodina Mat</t>
  </si>
  <si>
    <t>Natures</t>
  </si>
  <si>
    <t>Architect</t>
  </si>
  <si>
    <t>Autocrat</t>
  </si>
  <si>
    <t>Bravo</t>
  </si>
  <si>
    <t>Caregiver</t>
  </si>
  <si>
    <t>Competitor</t>
  </si>
  <si>
    <t>Cynic</t>
  </si>
  <si>
    <t>Fanatic</t>
  </si>
  <si>
    <t>Gallant</t>
  </si>
  <si>
    <t>Gambler</t>
  </si>
  <si>
    <t>Judge</t>
  </si>
  <si>
    <t>Libertine</t>
  </si>
  <si>
    <t>Loner</t>
  </si>
  <si>
    <t>Pacifist</t>
  </si>
  <si>
    <t>Pedagogue</t>
  </si>
  <si>
    <t>Penitent</t>
  </si>
  <si>
    <t>Perfectionist</t>
  </si>
  <si>
    <t>Rebel</t>
  </si>
  <si>
    <t>Rogue</t>
  </si>
  <si>
    <t>Survivor</t>
  </si>
  <si>
    <t>Traditionalist</t>
  </si>
  <si>
    <t>Trickster</t>
  </si>
  <si>
    <t>Visionary</t>
  </si>
  <si>
    <t>Specialized Abilities</t>
  </si>
  <si>
    <t>Epic Dots</t>
  </si>
  <si>
    <t>Test</t>
  </si>
  <si>
    <t>Yes</t>
  </si>
  <si>
    <t>No</t>
  </si>
  <si>
    <t>Select Book</t>
  </si>
  <si>
    <t>Companion</t>
  </si>
  <si>
    <t>Ragnarok</t>
  </si>
  <si>
    <t xml:space="preserve"> -- All Purpose</t>
  </si>
  <si>
    <t>Animal</t>
  </si>
  <si>
    <t>Chaos</t>
  </si>
  <si>
    <t>Darkness</t>
  </si>
  <si>
    <t>Death</t>
  </si>
  <si>
    <t>Earth</t>
  </si>
  <si>
    <t>Fertility</t>
  </si>
  <si>
    <t>Fire</t>
  </si>
  <si>
    <t>Guardian</t>
  </si>
  <si>
    <t>Justice</t>
  </si>
  <si>
    <t>Moon</t>
  </si>
  <si>
    <t>Psychopomp</t>
  </si>
  <si>
    <t>Sky</t>
  </si>
  <si>
    <t>Stars</t>
  </si>
  <si>
    <t>Sun</t>
  </si>
  <si>
    <t>War</t>
  </si>
  <si>
    <t>Water</t>
  </si>
  <si>
    <t xml:space="preserve"> -- Special</t>
  </si>
  <si>
    <t>Mystery</t>
  </si>
  <si>
    <t>Prophecy</t>
  </si>
  <si>
    <t>Magic</t>
  </si>
  <si>
    <t xml:space="preserve"> -- Pantheon</t>
  </si>
  <si>
    <t>Select Type</t>
  </si>
  <si>
    <t>Armor Crusher</t>
  </si>
  <si>
    <t>Crushing Grip</t>
  </si>
  <si>
    <t>Disfiguring Attack</t>
  </si>
  <si>
    <t>Divine Bound</t>
  </si>
  <si>
    <t>Divine Rampage</t>
  </si>
  <si>
    <t>Holy Rampage</t>
  </si>
  <si>
    <t>Hurl to the Moon</t>
  </si>
  <si>
    <t>Knockback Attack</t>
  </si>
  <si>
    <t>Knockback Wave</t>
  </si>
  <si>
    <t>Making It Look Easy</t>
  </si>
  <si>
    <t>Mighty Heave</t>
  </si>
  <si>
    <t>One Inch Punch</t>
  </si>
  <si>
    <t>Titanium Tools</t>
  </si>
  <si>
    <t>Anti-Gravity Climber</t>
  </si>
  <si>
    <t>Cat's Grace</t>
  </si>
  <si>
    <t>Divine Balance</t>
  </si>
  <si>
    <t>Escape Artist</t>
  </si>
  <si>
    <t>Microscopic Precision</t>
  </si>
  <si>
    <t>Omnidexterity</t>
  </si>
  <si>
    <t>Perfect Partner</t>
  </si>
  <si>
    <t>Photographic Penmanship</t>
  </si>
  <si>
    <t>Ricochet Symphony</t>
  </si>
  <si>
    <t>Roll With It</t>
  </si>
  <si>
    <t>Shot to the Heart</t>
  </si>
  <si>
    <t>Spider Climber</t>
  </si>
  <si>
    <t>Trick Shooter</t>
  </si>
  <si>
    <t>Untouchable Opponent</t>
  </si>
  <si>
    <t>Whirlwind Shield</t>
  </si>
  <si>
    <t>Damage Conversion</t>
  </si>
  <si>
    <t>Devourer</t>
  </si>
  <si>
    <t>Divine Damage Conversion</t>
  </si>
  <si>
    <t>Divine Fortitude</t>
  </si>
  <si>
    <t>Extended Youth</t>
  </si>
  <si>
    <t>Holy Fortitude</t>
  </si>
  <si>
    <t>Impenetrable</t>
  </si>
  <si>
    <t>Inner Furnace</t>
  </si>
  <si>
    <t>Internal Refinery</t>
  </si>
  <si>
    <t>Invulnerable Nail</t>
  </si>
  <si>
    <t>Raging Bull</t>
  </si>
  <si>
    <t>Regeneration</t>
  </si>
  <si>
    <t>Self-Healing</t>
  </si>
  <si>
    <t>Skin-Shedding</t>
  </si>
  <si>
    <t>Solipsistic Well-Being</t>
  </si>
  <si>
    <t>Tireless Worker</t>
  </si>
  <si>
    <t>Under Pressure</t>
  </si>
  <si>
    <t>Benefit of the Doubt</t>
  </si>
  <si>
    <t>BFF</t>
  </si>
  <si>
    <t>Blame James</t>
  </si>
  <si>
    <t>Blessing of Importance</t>
  </si>
  <si>
    <t>Borrowed Credibility</t>
  </si>
  <si>
    <t>Boys Will Be Boys</t>
  </si>
  <si>
    <t>Charmer</t>
  </si>
  <si>
    <t>Crowd Control</t>
  </si>
  <si>
    <t>Divine Figurehead</t>
  </si>
  <si>
    <t>Engender Love</t>
  </si>
  <si>
    <t>Hapless Cool</t>
  </si>
  <si>
    <t>Inspirational Figure</t>
  </si>
  <si>
    <t>Instant Seminar</t>
  </si>
  <si>
    <t>Never Say Die</t>
  </si>
  <si>
    <t>Paragon of Virtue</t>
  </si>
  <si>
    <t>Pied Piper</t>
  </si>
  <si>
    <t>Preach On</t>
  </si>
  <si>
    <t>Unimpeachable Reference</t>
  </si>
  <si>
    <t>Sources</t>
  </si>
  <si>
    <t xml:space="preserve"> -- Epic Attributes</t>
  </si>
  <si>
    <t>Knacks</t>
  </si>
  <si>
    <t>Creation</t>
  </si>
  <si>
    <t>XP</t>
  </si>
  <si>
    <t>Freebies</t>
  </si>
  <si>
    <t>Demigod Conversion</t>
  </si>
  <si>
    <t>God Conversion</t>
  </si>
  <si>
    <t>XP Spent</t>
  </si>
  <si>
    <t>Select Your God</t>
  </si>
  <si>
    <t>You're Done!</t>
  </si>
  <si>
    <t>Steps</t>
  </si>
  <si>
    <t>Choose your Pantheon and God carefully. Your pantheon dictates which virtues your character must live by and your parent god determines which abilities you learn more quickly and easily than others – both mundane and divine.</t>
  </si>
  <si>
    <t>Select Your Nature</t>
  </si>
  <si>
    <t>Select Your Calling</t>
  </si>
  <si>
    <t>Prioritize Your Attribute Groups</t>
  </si>
  <si>
    <t>Select Physical Attributes</t>
  </si>
  <si>
    <t>Select Social Attributes</t>
  </si>
  <si>
    <t>Select Mental Attributes</t>
  </si>
  <si>
    <t>Select Abilities</t>
  </si>
  <si>
    <t>Select Advantages</t>
  </si>
  <si>
    <t>Select Virtues</t>
  </si>
  <si>
    <t>Record Willpower</t>
  </si>
  <si>
    <t>Spend Bonus Points</t>
  </si>
  <si>
    <t>You are now legend 8, meaning you're a genuine, full-fledged god. There is no longer any part of you, physically, that is human. As such, you no longer rely upon your parent god for power and no longer list them on your character sheet. You also no longer need be bound to one of the traditional Pantheons. Should you and your group of comrades decide to start your own Pantheon, you may do so and it's name goes where your parent's pantheon once did on your sheet.</t>
  </si>
  <si>
    <t>A character’s nature, in terms of Scion, is a one-word description of their general outlook on life and/or means of traveling through it. In practical terms, it is a vague way of flavoring your character's personality. For a summary list of the standard natures, see Hero page 102. For a full description of each Nature, see Hero pages 112-117.</t>
  </si>
  <si>
    <t>Your character’s Calling is there to flesh out who you are a bit more. Rather than a simple personality archetype like Nature, you Calling is what your character does when he isn’t investigating supernatural activity, seducing an unwitting mortal or beating the snot out of some Titanspawn. It is their job. In the absence of a job, it is how they primarily spend their time.</t>
  </si>
  <si>
    <t>Attributes are broken down into three groups – physical, mental and social. What each group applies to is fairly straight-forward. At creation, all 9 attributes start at 1 dot and you get to add from there. You get 8 dots to spread across your Primary attribute group as you see fit, for a total of 11 dots. You get 6 dots to spread across your Secondary group for a total of 9 dots. You get 4 dots to spread across your Tertiary group for a total of 7 dots. While it is not mandatory to base your selections on the God or Calling you’ve chosen for your character, it is often wise to do so. 1 dot in an attribute represents a near insufficiency. 3 dots represents human average and 5 dots represents the pinnacle of human perfection in that attribute.</t>
  </si>
  <si>
    <t>No attribute can be above 5 until you have a Legend Rating of 6 or higher. Characters use Strength for physical activities such as lifting, jumping, climbing and throwing, as well as inflicting damage in hand-to-hand combat or breaking inanimate objects. Characters use Dexterity to determine how fast they run, how easily they hit their opponents in combat, and how well they operate tools, instruments and vehicles. Characters use Stamina to resist the effects of sickness, poisons or injury. It also governs tests of physical endurance, such as long-distance running, swimming underwater or mountain climbing.</t>
  </si>
  <si>
    <t>No attribute can be above 5 until you have a Legend Rating of 6 or higher. Characters use Charisma to charm their enemies, to win friends and allies and to inspire people when things look bleak. A character uses Manipulation to convince people to do what he wants, whether by trickery, deceit or force of will. Characters use Appearance when they want to intimidate, inspire or attract others using their physical looks alone</t>
  </si>
  <si>
    <t>No attribute can be above 5 until you have a Legend Rating of 6 or higher. Characters use Perception to gather and process information and to remain alert for signs of danger. Characters use Intelligence when they must draw upon their memory, creativity or powers of logic to find solutions to complex problems. Characters use Wits to talk their way out of tight spots, to reach the right decision in a moment of crisis or to react quickly in the face of danger. It is also used to determine how quickly a character acts in combat.</t>
  </si>
  <si>
    <t>Virtues are the philosophical and moral ideals by which your Pantheon judges your actions and, as such, by which you are naturally compelled to live your life. Each of your 4 virtues starts at 1 dot and you get 5 dots to spread among them as you please. At creation, you cannot raise a single virtue above 4 without spending Bonus Points to do so. For more information on how Virtues effect the game and descriptions of each one, see Hero pages 117-122 and, if you chose a Scion: Companion Pantheon, your pantheon's section in the book for details on any virtues that may be specific to them.</t>
  </si>
  <si>
    <t>Willpower represents your determination and resolve. It can be used to resist an instinctive urge from your Virtues, grant automatic successes to certain rolls, activate a knack or boon or resist mental attacks. Your starting Willpower is the sum of your two highest Virtues.</t>
  </si>
  <si>
    <t>You have 15 bonus points to spend as you please. On the Bonus Points section of this worksheet you can mouse over each trait to see how many bonus points each dot will cost you. There is also a table on Hero page 101.</t>
  </si>
  <si>
    <t>Congratulations! You're Done! Well, not completely. Now you just need to sort out your attacks and gear and whatnot on the main Character Sheet, but that's the easy part.</t>
  </si>
  <si>
    <t>Just like at creation, you have to prioritize your ability groups. You do not have to prioritize them the same way you did before. If you want to do them the same way, go for it. If not, that's swell too. This time around, your primary group gets 4 new dots, your secondary gets 3 new dots and your tertiary gets 2 new dots. Have at it!</t>
  </si>
  <si>
    <t>No attribute may be raised above 5 until you are Legend Rating 6 or higher, and after that an attribute cannot surpass your Legend Rating.</t>
  </si>
  <si>
    <t>No Attribute can be raised about your Legend Rating</t>
  </si>
  <si>
    <t>Again, you have 15 Bonus Points to spend. In case you forgot, the spending cost table is on Hero page 101</t>
  </si>
  <si>
    <t>Just like at creation, you have 10 dots to spend on boons and epic attributes and 5 dots to spend on Birthrights. This time your birthrights are not limited to 3 dots before Bonus Points. You can go all the way to 5 now. Don't forget to check out the nifty, new, way more powerful knacks and boons found on Demigod pages 53-99! Oh...and there's likely some Birthright stuff in there somewhere if ya look for it. *slap*</t>
  </si>
  <si>
    <t>You….you made it to God? Really? Ok, well…Go ahead and prioritize your attribute groups again. Just like before, you don't have to pick the same ones and you get 4/3/2 for primary/secondary/tertiary. On to the good stuff!</t>
  </si>
  <si>
    <t>Hey you! Yeah, you! You're a GOD! You've got GODLY POWAH! So here's the deal. First you add 1 dot to Epic Strength, Epic Dexterity, Epic Stamina and Epic Appearance. Why? Because you're a God now, suckah, and that's how we roll. THEN, you get 10 more dots to spend on Epic Attributes and boons. Again, your Epic Attributes and Boons always gotta be at least 1 dot below your Legend Rating. You also get another 5 dots to put towards Birthrights. Check out the super-powered knacks and boons in Scion:God pages 59-111. While you're at it, since you're a God now and all, go ahead and take a peek over at Scion:Companion page 151 - yeah, the section titled "Relic Design".</t>
  </si>
  <si>
    <t>and again, 15 more Bonus Points to spend. Back to page 101 of Hero.</t>
  </si>
  <si>
    <t>Select Your Pantheon</t>
  </si>
  <si>
    <t>You have 30 dots to spread among abilities. At least 6 dots must go to Favored Abilities, which are listed below. 1 dot represents basic ametuer skill. 3 dots represents a moderately high degree of proficiency. 5 dots represents and almost supernatural talent and understanding for the skill in question. At creation, no skill may be raised above 3 dots without using Bonus Points. Art, Control, Craft and Science are so broad in nature that they require specialization. You may take each Specialized ability as many times as you wish with different specializations, but dots from each specialization ONLY apply to that area of expertise.</t>
  </si>
  <si>
    <t>Now it's time for your supernatural power. You get 10 dots to divide up, as you wish, among Boons and Epic Attributes. You may never possess a Boon or Epic Attribute that is equal to or greater than your Legend Rating. Each dot of Epic Attribute does come with a free Knack. Once you have at least one dot in an Epic Attribute you may use bonus points or experience to purchase additional knacks for that attribute. For details on Epic Attributes and Knacks see Hero pages 126-136 and Companion pages 51-59. For details on Boons, see Hero pages 139-156 and Companion pages 71-82. If you chose a Pantheon from Scion: Companion, your pantheon-specific purview boons will be listed in the section for your pantheon.</t>
  </si>
  <si>
    <t>Select Your Birthrights</t>
  </si>
  <si>
    <t>Your get 5 dots to spread across up to 5 Birthrights. Birthrights come in 4 flavors: Relics, Followers,  Creatures, and Guides. Guides and Followers can be mortal or supernatural. At creation, no single birthright may be raised above 3 dots without spending Bonus Points. All Birthrights max out at 5 dots. For more information on birthrights, as well as ideas for what you might want, see Hero pages 156-169, 280-301, 324-328 and Companion pages 59-67. If you picked a pantheon from Companion, you will also find birthrights listed within your pantheon's section of the book. ALL BIRTHRIGHTS ARE PENDING STORYTELLER APPROVAL.</t>
  </si>
  <si>
    <t>Associated All-purpose Boons</t>
  </si>
  <si>
    <t>Spells</t>
  </si>
  <si>
    <t>Non-associated All-purpose Boons</t>
  </si>
  <si>
    <t>Associated Special Purviews</t>
  </si>
  <si>
    <t>Non-Associated Special Purviews</t>
  </si>
  <si>
    <t>Pantheon Purview Boons</t>
  </si>
  <si>
    <t>Total XP</t>
  </si>
  <si>
    <t>Attribute</t>
  </si>
  <si>
    <t>Prerequisite</t>
  </si>
  <si>
    <t>None</t>
  </si>
  <si>
    <t>Good work, chum! Now just add your boons, knacks, etc. to the your main page and you're good to go!</t>
  </si>
  <si>
    <t>There you go, my friend. Is it ok if I call you my friend? I hope so. Afterall, we made it all the way to Scion:God together. Then again, that might be all the more reason you don't want to be my friend anymore. Well, anyways, my friend, you're pretty much done with the conversion to godhood. Just gotta toss your new shineys onto the main page and then off to kick the smile off a Titan's face. Yeah, that's right. A Titan. No more spawnage business. What in Your name have you gotten yourself into now?</t>
  </si>
  <si>
    <t>For Birthrights being improved, only input the number of dots being increased, not the total dots.</t>
  </si>
  <si>
    <t>In all columns labeled "New" and "Bonus", input the number being added, not the new total.</t>
  </si>
  <si>
    <t>Secondary</t>
  </si>
  <si>
    <t>Primary</t>
  </si>
  <si>
    <t>Tertiary</t>
  </si>
  <si>
    <t>Epic Perception</t>
  </si>
  <si>
    <t>Animal (Jackal), Death, Guardian, Justice</t>
  </si>
  <si>
    <t>Epic Charisma, Epic Manipulation, Epic Perception</t>
  </si>
  <si>
    <t>Animal (Falcon), Sun</t>
  </si>
  <si>
    <t>Epic Charisma, Epic Dexterity, Epic Perception, Epic Wits</t>
  </si>
  <si>
    <t>Animal (Goose), Earth, Fertility, Justice</t>
  </si>
  <si>
    <t>Epic Strength</t>
  </si>
  <si>
    <t>Animal (Falcon), Justice, Moon, Sky, Sun</t>
  </si>
  <si>
    <t>Isis</t>
  </si>
  <si>
    <t>Epic Charisma, Epic Manipulation</t>
  </si>
  <si>
    <t>Fertility, Guardian, Health, Magic, Mystery</t>
  </si>
  <si>
    <t>Animal (Centipede, Ram), Death, Earth, Fertility, Justice</t>
  </si>
  <si>
    <t>Epic Intelligence</t>
  </si>
  <si>
    <t>Fire, Psychopomp</t>
  </si>
  <si>
    <t>Epic Manipulation, Epic Strength</t>
  </si>
  <si>
    <t>Animal (Salawa), Chaos, Guardian, Sky, War</t>
  </si>
  <si>
    <t>Epic Stamina, Epic Strength</t>
  </si>
  <si>
    <t>Animal (Crocodile), Fertility, War</t>
  </si>
  <si>
    <t>Animal (Baboon, Ibis), Justice, Magic, Moon</t>
  </si>
  <si>
    <t>Epic Appearance, Epic Charisma, Epic Manipulation</t>
  </si>
  <si>
    <t>Special</t>
  </si>
  <si>
    <t>Boon</t>
  </si>
  <si>
    <t>Attribute Dots</t>
  </si>
  <si>
    <t>Ability Dots</t>
  </si>
  <si>
    <t>Add Legend</t>
  </si>
  <si>
    <t>Epic Bonus</t>
  </si>
  <si>
    <t>Description</t>
  </si>
  <si>
    <t>Epic Appearance, Epic Charisma</t>
  </si>
  <si>
    <t>Health, Prophecy, Sun</t>
  </si>
  <si>
    <t>Epic Dexterity, Epic Perception</t>
  </si>
  <si>
    <t>Health, Moon</t>
  </si>
  <si>
    <t>Epic Intelligence, Epic Wits</t>
  </si>
  <si>
    <t>Animal (Owl), Health, Justice, War</t>
  </si>
  <si>
    <t>Epic Charisma, Epic Stamina</t>
  </si>
  <si>
    <t>Chaos, Fertility, Mystery</t>
  </si>
  <si>
    <t>Darkness, Death, Earth</t>
  </si>
  <si>
    <t>Epic Intelligence, Epic Stamina, Epic Strength</t>
  </si>
  <si>
    <t>Earth, Fire</t>
  </si>
  <si>
    <t>Animal (Peacock), Health, Magic</t>
  </si>
  <si>
    <t>Epic Dexterity, Epic Intelligence, Epic Wits</t>
  </si>
  <si>
    <t>Magic, Psychopomp</t>
  </si>
  <si>
    <t>Animal (horse), Earth, Water</t>
  </si>
  <si>
    <t>Epic Charisma, Epic Manipulation, Epic Strength</t>
  </si>
  <si>
    <t>Justice, Sky</t>
  </si>
  <si>
    <t>Guardian, Sun</t>
  </si>
  <si>
    <t>Fertility, Health, War</t>
  </si>
  <si>
    <t>Epic Charisma</t>
  </si>
  <si>
    <t>Fertility, Health, Sun, War</t>
  </si>
  <si>
    <t>Epic Charisma, Epic Intelligence</t>
  </si>
  <si>
    <t>Magic, Prophecy, Sky</t>
  </si>
  <si>
    <t>Epic Appearance, Epic Manipulation</t>
  </si>
  <si>
    <t>Epic Intelligence, Epic Manipulation, Epic Wits</t>
  </si>
  <si>
    <t>Chaos, Fire, Magic</t>
  </si>
  <si>
    <t>Epic Charisma, Epic Intelligence, Epic Manipulation, Epic Perception, Epic Stamina, Epic Wits</t>
  </si>
  <si>
    <t>Death, Magic, Mystery, Prophecy, Psychopomp, War</t>
  </si>
  <si>
    <t>Epic Charisma, Epic Stamina, Epic Strength</t>
  </si>
  <si>
    <t>Guardian, Sky</t>
  </si>
  <si>
    <t>Epic Charisma, Epic Stamina, Epic Strength, Epic Wits</t>
  </si>
  <si>
    <t>Justice, War</t>
  </si>
  <si>
    <t>Animal (Hummingbird, Eagle), Death, Guardian, Magic, Sun, War</t>
  </si>
  <si>
    <t>Animal (Dog), Death, Guardian</t>
  </si>
  <si>
    <t>Animal (Resplandent Quetzal), Fertility, Earth, Health, Justice, Psychopomp, Sky, Water</t>
  </si>
  <si>
    <t>Epic Appearance, Epic Charisma, Epic Dexterity, Epic Manipulation, Epic Wits</t>
  </si>
  <si>
    <t>Animal (Jaguar), Darkness, Magic, Moon, Mystery, Prophecy, Sun, War</t>
  </si>
  <si>
    <t>Epic Appearance</t>
  </si>
  <si>
    <t>Earth, Fertility, Health, Sky</t>
  </si>
  <si>
    <t>Epic Stamina</t>
  </si>
  <si>
    <t>Death, Fertility, Guardian, Health</t>
  </si>
  <si>
    <t>Epic Appearance, Epic Charisma, Epic Strength</t>
  </si>
  <si>
    <t>Fertility, Sun</t>
  </si>
  <si>
    <t>Epic Charisma, Epic Dexterity, Epic Wits</t>
  </si>
  <si>
    <t>Animal (Dove), Fertility, Guardian, War</t>
  </si>
  <si>
    <t>Epic Charisma, Epic Strength</t>
  </si>
  <si>
    <t>Psychopomp, Sky</t>
  </si>
  <si>
    <t>Epic Appearance, Epic Dexterity</t>
  </si>
  <si>
    <t>Epic Strength, Epic Wits</t>
  </si>
  <si>
    <t>Chaos, Psychopomp, Sky, Water</t>
  </si>
  <si>
    <t>Darkness, Moon, Psychopomp</t>
  </si>
  <si>
    <t>Darkness, Death, Earth, Health, Psychopomp</t>
  </si>
  <si>
    <t>Animal (Snake), Health, Mystery</t>
  </si>
  <si>
    <t>Guardian, War</t>
  </si>
  <si>
    <t>Chaos, Darkness, Magic, Moon</t>
  </si>
  <si>
    <t>Epic Charisma, Epic Wits</t>
  </si>
  <si>
    <t>Prophecy, Psychopomp, Sun</t>
  </si>
  <si>
    <t>Fire, Water</t>
  </si>
  <si>
    <t>Justice, Prophecy, Sky</t>
  </si>
  <si>
    <t>Animal (Birds), Health</t>
  </si>
  <si>
    <t>Animal (Swan), Fire, Health, Water</t>
  </si>
  <si>
    <t>Animal (Pigs), Guardian, War</t>
  </si>
  <si>
    <t>Epic Perception, Epic Stamina</t>
  </si>
  <si>
    <t>Earth, Fertility, Guardian, Water</t>
  </si>
  <si>
    <t>Epic Dexterity, Epic Intelligence, Epic Perception</t>
  </si>
  <si>
    <t>Health, Magic, Water</t>
  </si>
  <si>
    <t>Animal (Dog), Guardian, Health, Illusion, Magic, Sky, Water</t>
  </si>
  <si>
    <t>Epic Manipulation, Epic Wits</t>
  </si>
  <si>
    <t>Animal (Horses), Death, Illusion, Magic, Prophecy, Psychopomp, Water</t>
  </si>
  <si>
    <t>Epic Appearance, Epic Strength</t>
  </si>
  <si>
    <t>Animal (Corvids, Cattle), Chaos, Death, Fertility, Prophecy, War</t>
  </si>
  <si>
    <t>Epic Charisma, Epic Strength, Epic Perception</t>
  </si>
  <si>
    <t>Guardian, Justice, War</t>
  </si>
  <si>
    <t>Epic Dexterity, Epic Intelligence, Epic Strength</t>
  </si>
  <si>
    <t>Epic Dexterity, Epic Manipulation, Epic Wits</t>
  </si>
  <si>
    <t>Fire, Psychopomp, Sky</t>
  </si>
  <si>
    <t>Epic Perception, Epic Intelligence</t>
  </si>
  <si>
    <t>Earth, Fertility, Magic, Mystery, Psychopomp, Sun</t>
  </si>
  <si>
    <t>Epic Intelligence, Epic Perception</t>
  </si>
  <si>
    <t>Animal, Earth, Fire, Magic, Mystery, Prophecy, Psychopomp</t>
  </si>
  <si>
    <t>Fertility, Sky, War, Water</t>
  </si>
  <si>
    <t>Chaos, Darkness, Death, War</t>
  </si>
  <si>
    <t>Epic Appearance, Epic Perception</t>
  </si>
  <si>
    <t>Fertility, Guardian, Health, Mystery, Moon, Psychopomp, Water</t>
  </si>
  <si>
    <t>Epic Charisma, Epic Manipulation, Epic Wits</t>
  </si>
  <si>
    <t>Guardian, Health, Magic</t>
  </si>
  <si>
    <t>Epic Appearance, Epic Intelligence</t>
  </si>
  <si>
    <t>Fertility, Health, Prophecy, Water</t>
  </si>
  <si>
    <t>Epic Stamina, Epic Dexterity, Epic Appearance</t>
  </si>
  <si>
    <t>Chaos, Fire, Darkness, Mystery, Magic, War</t>
  </si>
  <si>
    <t>Surya</t>
  </si>
  <si>
    <t>Epic Strength, Epic Manipulation</t>
  </si>
  <si>
    <t>Animal, Chaos, Fire, Health, Sun, Prophecy, Mystery</t>
  </si>
  <si>
    <t>Epic Perception, Epic Strength, Epic Charisma, Epic Intelligence</t>
  </si>
  <si>
    <t>Animal, Fertility, Guardian, Health, Magic, Psychopomp, Water</t>
  </si>
  <si>
    <t>Epic Stamina, Epic Intelligence</t>
  </si>
  <si>
    <t>Death, Earth, Justice, Psychopomp</t>
  </si>
  <si>
    <t>Epic Appearance, Epic Wits</t>
  </si>
  <si>
    <t>Frost, Moon</t>
  </si>
  <si>
    <t>Epic Intelligence, Epic Perception, Epic Stamina</t>
  </si>
  <si>
    <t>Fertility, Prophecy, Sky, Sun</t>
  </si>
  <si>
    <t>Epic Charisma, Epic Manipulation, Epic Stamina</t>
  </si>
  <si>
    <t>Epic Appearance, Epic Charisma, Epic Perception</t>
  </si>
  <si>
    <t>Health, Mystery</t>
  </si>
  <si>
    <t>Epic Dexterity, Epic Stamina, Epic Strength</t>
  </si>
  <si>
    <t>Epic Intelligence, Epic Manipulation, Epic Stamina</t>
  </si>
  <si>
    <t>Earth, Guardian, Mystery, War</t>
  </si>
  <si>
    <t>Epic Dexterity, Epic Strength, Epic Wits</t>
  </si>
  <si>
    <t>Fire, Sky, War</t>
  </si>
  <si>
    <t>Epic Intelligence, Epic Stamina, Epic Wits</t>
  </si>
  <si>
    <t>Fertility, Magic, Moon, Psychopomp, Water</t>
  </si>
  <si>
    <t>Fertility, Fire, Health, Prophecy</t>
  </si>
  <si>
    <t>Animal (Monkeys), Chaos, War</t>
  </si>
  <si>
    <t>Epic Dexterity, Epic Stamina, Epic Wits</t>
  </si>
  <si>
    <t>Animal (Panther, Tiger), Health, Justice, Magic</t>
  </si>
  <si>
    <t>Epic Manipulation, Epic Perception</t>
  </si>
  <si>
    <t>Darkness, Death, Justice</t>
  </si>
  <si>
    <t>Epic Appearance, Epic Charisma, Epic Intelligence</t>
  </si>
  <si>
    <t>Health, War, Water</t>
  </si>
  <si>
    <t>Epic Dexterity, Epic Wits</t>
  </si>
  <si>
    <t>Fertility, Magic</t>
  </si>
  <si>
    <t>Earth, Fertility, Health, Magic</t>
  </si>
  <si>
    <t>Animal (Cattle), Moon</t>
  </si>
  <si>
    <t>Epic Strength, Epic Charisma</t>
  </si>
  <si>
    <t>Fire, Justice, Psychopomp, Sun, War</t>
  </si>
  <si>
    <t>Guardian, Justice, Prophecy</t>
  </si>
  <si>
    <t>Animal (horse), Guardian, Fertility, Stars, Water</t>
  </si>
  <si>
    <t>Epic Strength, Epic Stamina</t>
  </si>
  <si>
    <t>Animal (Boar), Fire, War</t>
  </si>
  <si>
    <t>Epic Dexterity, Epic Manipulation</t>
  </si>
  <si>
    <t>Chaos, Death, Psychopomp, Sky</t>
  </si>
  <si>
    <t>Earth, Mystery</t>
  </si>
  <si>
    <t>Fire, Sky, Water</t>
  </si>
  <si>
    <t>Animal (Boar), Darkness, Sun</t>
  </si>
  <si>
    <t>Chaos, Magic</t>
  </si>
  <si>
    <t>Animal (Wolf), War</t>
  </si>
  <si>
    <t>Epic Dexterity, Epix Intelligence</t>
  </si>
  <si>
    <t>Animal (Rabbit), Chaos</t>
  </si>
  <si>
    <t>Epic Charisma, Epic Perception</t>
  </si>
  <si>
    <t>Guardian, Psychopomp</t>
  </si>
  <si>
    <t>Fertility, Health</t>
  </si>
  <si>
    <t>Epic Strength, Epic Stamina, Epic Intelligence</t>
  </si>
  <si>
    <t>Animal (Ox), Earth</t>
  </si>
  <si>
    <t>Epic Dexterity, Epix Staminas, Epic Charisma</t>
  </si>
  <si>
    <t>Animal (Coyote, Horse), Psychopomp</t>
  </si>
  <si>
    <t>none</t>
  </si>
  <si>
    <t>Epic Intelligence, Epic Manipulation</t>
  </si>
  <si>
    <t>Animal (Eagle), Guardian, Justice, War</t>
  </si>
  <si>
    <t>Animal (Lion), Guardian, Justice, Water</t>
  </si>
  <si>
    <t>Animal (Bulldog), Psychopomp, War</t>
  </si>
  <si>
    <t>Epic Dexterity, Epic Appearance, Epic Charisma, Epic Wits</t>
  </si>
  <si>
    <t>Chaos, Darkness</t>
  </si>
  <si>
    <t>Death, Justice, Mystery</t>
  </si>
  <si>
    <t>Epic Perception, Epic Charisma</t>
  </si>
  <si>
    <t>Animal (Rooster), Guardian, Justice</t>
  </si>
  <si>
    <t>Animal (chicken), Chaos, Health, Magic, Sky</t>
  </si>
  <si>
    <t>Darkness, Guardian, Psychopomp</t>
  </si>
  <si>
    <t>Animal (Bear), Fertility, Justice, War</t>
  </si>
  <si>
    <t>Morrigan</t>
  </si>
  <si>
    <t>Dagda</t>
  </si>
  <si>
    <t>Illusion</t>
  </si>
  <si>
    <t>Frost</t>
  </si>
  <si>
    <t>TsukumoGami</t>
  </si>
  <si>
    <t>Dice Rolled</t>
  </si>
  <si>
    <t>Title</t>
  </si>
  <si>
    <t>Your Custom Equipment</t>
  </si>
  <si>
    <t>Clip</t>
  </si>
  <si>
    <t>Base Acc</t>
  </si>
  <si>
    <t>base DMG</t>
  </si>
  <si>
    <t>Base Def</t>
  </si>
  <si>
    <t>B/L/A</t>
  </si>
  <si>
    <t>Vehicle</t>
  </si>
  <si>
    <t>Bo</t>
  </si>
  <si>
    <t>Clinch</t>
  </si>
  <si>
    <t>Hadseax</t>
  </si>
  <si>
    <t>Hasta</t>
  </si>
  <si>
    <t>Kama</t>
  </si>
  <si>
    <t>Katana</t>
  </si>
  <si>
    <t>Khopesh</t>
  </si>
  <si>
    <t>Kontos</t>
  </si>
  <si>
    <t>Labrys</t>
  </si>
  <si>
    <t>Macana</t>
  </si>
  <si>
    <t>Machete</t>
  </si>
  <si>
    <t>Maquahuitl</t>
  </si>
  <si>
    <t>Naginata</t>
  </si>
  <si>
    <t>Scutum</t>
  </si>
  <si>
    <t>Skeggox</t>
  </si>
  <si>
    <t>Spatha</t>
  </si>
  <si>
    <t>Tepoztopilli</t>
  </si>
  <si>
    <t>Tonfa</t>
  </si>
  <si>
    <t>Trident</t>
  </si>
  <si>
    <t>Unarmed, Heavy</t>
  </si>
  <si>
    <t>Unarmed, Light</t>
  </si>
  <si>
    <t>Quauhololli</t>
  </si>
  <si>
    <t>Wakizashi</t>
  </si>
  <si>
    <t>Xiphos</t>
  </si>
  <si>
    <t>Atlatl</t>
  </si>
  <si>
    <t>Crossbow</t>
  </si>
  <si>
    <t>Daikyu</t>
  </si>
  <si>
    <t>Dart</t>
  </si>
  <si>
    <t>Hankyu</t>
  </si>
  <si>
    <t>Pilum</t>
  </si>
  <si>
    <t>Yaomitl</t>
  </si>
  <si>
    <t>Beretta</t>
  </si>
  <si>
    <t>Glock</t>
  </si>
  <si>
    <t>Desert Eagle</t>
  </si>
  <si>
    <t>Peacemaker</t>
  </si>
  <si>
    <t>FN P90</t>
  </si>
  <si>
    <t>H&amp;K MP5</t>
  </si>
  <si>
    <t>Remington</t>
  </si>
  <si>
    <t>M16</t>
  </si>
  <si>
    <t>AK-47</t>
  </si>
  <si>
    <t>Mossberg</t>
  </si>
  <si>
    <t>Fatigue</t>
  </si>
  <si>
    <t>Biker Gear</t>
  </si>
  <si>
    <t>Bulletproof Vest</t>
  </si>
  <si>
    <t>Heavy Clothing</t>
  </si>
  <si>
    <t>Hide</t>
  </si>
  <si>
    <t>Leather</t>
  </si>
  <si>
    <t>Lamellar</t>
  </si>
  <si>
    <t>Riot Gear</t>
  </si>
  <si>
    <t>Mass</t>
  </si>
  <si>
    <t>Maneuverability</t>
  </si>
  <si>
    <t>Health Levels</t>
  </si>
  <si>
    <t>Armored Truck</t>
  </si>
  <si>
    <t>Car</t>
  </si>
  <si>
    <t>Motorcycle</t>
  </si>
  <si>
    <t>Pickup Truck</t>
  </si>
  <si>
    <t>Van</t>
  </si>
  <si>
    <t>Police Car</t>
  </si>
  <si>
    <t>Rickshaw</t>
  </si>
  <si>
    <t>Semi</t>
  </si>
  <si>
    <t>Brass Knuckles</t>
  </si>
  <si>
    <t>Garrote Wire</t>
  </si>
  <si>
    <t>Flexibile Weapons</t>
  </si>
  <si>
    <t>Iklwa</t>
  </si>
  <si>
    <t>Weighted-end Weapons</t>
  </si>
  <si>
    <t>Boomerang</t>
  </si>
  <si>
    <t>Discus (Razor)</t>
  </si>
  <si>
    <t>Pepper-Spray</t>
  </si>
  <si>
    <t>Shuriken</t>
  </si>
  <si>
    <t>Taser</t>
  </si>
  <si>
    <t>Hazmat Suit</t>
  </si>
  <si>
    <t>NBC Suit</t>
  </si>
  <si>
    <t>UHMWPE Armor</t>
  </si>
  <si>
    <t>Yoroi</t>
  </si>
  <si>
    <t>ATV</t>
  </si>
  <si>
    <t>Bicycle</t>
  </si>
  <si>
    <t>Canoe</t>
  </si>
  <si>
    <t>Hang-glider</t>
  </si>
  <si>
    <t>Helicopter</t>
  </si>
  <si>
    <t>Jet (Commercial)</t>
  </si>
  <si>
    <t>Jet (Private)</t>
  </si>
  <si>
    <t>Plane (Single-engine)</t>
  </si>
  <si>
    <t>Racing car</t>
  </si>
  <si>
    <t>Segway PT</t>
  </si>
  <si>
    <t>Sloop</t>
  </si>
  <si>
    <t>Speedboat</t>
  </si>
  <si>
    <t>Colt .45</t>
  </si>
  <si>
    <t>Luger</t>
  </si>
  <si>
    <t>Lee-Einfield No. 4</t>
  </si>
  <si>
    <t>M1 Garand</t>
  </si>
  <si>
    <t>MP40</t>
  </si>
  <si>
    <t>Meiji 38</t>
  </si>
  <si>
    <t>PPSh</t>
  </si>
  <si>
    <t>Sturmgewehr Stu .44</t>
  </si>
  <si>
    <t>Thompson M1</t>
  </si>
  <si>
    <t>Artillery, Small</t>
  </si>
  <si>
    <t>Artillery, Large</t>
  </si>
  <si>
    <t>Bazooka</t>
  </si>
  <si>
    <t>Bomb, 125lb</t>
  </si>
  <si>
    <t>Bomb, 250lb</t>
  </si>
  <si>
    <t>Bomb, 50lb</t>
  </si>
  <si>
    <t>cannon, light</t>
  </si>
  <si>
    <t>cannon, generic</t>
  </si>
  <si>
    <t>cannon, 88mm</t>
  </si>
  <si>
    <t>Hand Grenade</t>
  </si>
  <si>
    <t>Machinegun, generic</t>
  </si>
  <si>
    <t>MG 42</t>
  </si>
  <si>
    <t>Mortar</t>
  </si>
  <si>
    <t>Nebelwerfer Rocket</t>
  </si>
  <si>
    <t>B-17</t>
  </si>
  <si>
    <t>Battleship</t>
  </si>
  <si>
    <t>Bomber, Generic</t>
  </si>
  <si>
    <t>P-51 Mustang</t>
  </si>
  <si>
    <t>Tank, Generic</t>
  </si>
  <si>
    <t>U-boat</t>
  </si>
  <si>
    <t>Marks</t>
  </si>
  <si>
    <t>--</t>
  </si>
  <si>
    <t>N/A</t>
  </si>
  <si>
    <t>L/B</t>
  </si>
  <si>
    <t>V</t>
  </si>
  <si>
    <t>belt</t>
  </si>
  <si>
    <t>ACC</t>
  </si>
  <si>
    <t>DMG</t>
  </si>
  <si>
    <t>acc</t>
  </si>
  <si>
    <t>dmg</t>
  </si>
  <si>
    <t>parry</t>
  </si>
  <si>
    <t>Custom1</t>
  </si>
  <si>
    <t>Custom2</t>
  </si>
  <si>
    <t>Custom3</t>
  </si>
  <si>
    <t>Custom4</t>
  </si>
  <si>
    <t>Custom5</t>
  </si>
  <si>
    <t>Custom6</t>
  </si>
  <si>
    <t>Custom7</t>
  </si>
  <si>
    <t>Custom8</t>
  </si>
  <si>
    <t>Custom9</t>
  </si>
  <si>
    <t>Custom10</t>
  </si>
  <si>
    <t>Kono's Kitana</t>
  </si>
  <si>
    <t>Nemean Hide</t>
  </si>
  <si>
    <t>Harpy Dagger</t>
  </si>
  <si>
    <t>Harpy  Knife</t>
  </si>
  <si>
    <t>Black Shuriken</t>
  </si>
  <si>
    <t>Tengu Katana</t>
  </si>
  <si>
    <t>Sojobo's Daikyu</t>
  </si>
  <si>
    <t>Sojobo's Katana</t>
  </si>
  <si>
    <t>Sojobo's Wakizashi</t>
  </si>
  <si>
    <t>Taimatsu-Maru's Daikyu</t>
  </si>
  <si>
    <t>Taimatsu-Maru's Katana</t>
  </si>
  <si>
    <t>Taimatsu-Maru's Wakizasha</t>
  </si>
  <si>
    <t>Brok's Foe-Cutter</t>
  </si>
  <si>
    <t>Fafnir's Foe-Cutter</t>
  </si>
  <si>
    <t>Fafnir's Warmaker</t>
  </si>
  <si>
    <t>Werner's Colt .45</t>
  </si>
  <si>
    <t>Werner's Rapier</t>
  </si>
  <si>
    <t>Set’s Was</t>
  </si>
  <si>
    <t>Hera's Spear</t>
  </si>
  <si>
    <t>Hera's Peacock Cloak</t>
  </si>
  <si>
    <t>Loki's Spatha</t>
  </si>
  <si>
    <t>Set's Armor</t>
  </si>
  <si>
    <t>The Fenrir Cloak</t>
  </si>
  <si>
    <t>Tezatlipoca's Jaguar Armor</t>
  </si>
  <si>
    <t>Tezcatlipoca’s maquahuitl</t>
  </si>
  <si>
    <t>Amenonuhoko</t>
  </si>
  <si>
    <t>Susano-o's Leaf-Cutter</t>
  </si>
  <si>
    <t>Susano-o's Gusoku Armor</t>
  </si>
  <si>
    <t>Kalfu's Machete</t>
  </si>
  <si>
    <t>Kalfu's Black Suit</t>
  </si>
  <si>
    <t>Imhotep's Khopesh</t>
  </si>
  <si>
    <t>Heracles’ club</t>
  </si>
  <si>
    <t>Heracles' Bow</t>
  </si>
  <si>
    <t>Heracles' Nemean-Lion Skin</t>
  </si>
  <si>
    <t>Nidung’s Bane</t>
  </si>
  <si>
    <t>Waylan's Glock</t>
  </si>
  <si>
    <t>Cortés’ rapier</t>
  </si>
  <si>
    <t>The Royal Sword of Empress Jingu</t>
  </si>
  <si>
    <t>Himiko's Bow</t>
  </si>
  <si>
    <t>Marinette’s machete</t>
  </si>
  <si>
    <t>The Pharaoh’s khopesh</t>
  </si>
  <si>
    <t>Relic Leopard's Skin Armor</t>
  </si>
  <si>
    <t>Armor of Aten</t>
  </si>
  <si>
    <t>Rasap bow</t>
  </si>
  <si>
    <t>Rasap spear</t>
  </si>
  <si>
    <t>Simbi Makaya’s</t>
  </si>
  <si>
    <t>Camaxtli’s Maquahuitl</t>
  </si>
  <si>
    <t>The Black Blade</t>
  </si>
  <si>
    <t>Sagaris</t>
  </si>
  <si>
    <t>Benkei's Armor</t>
  </si>
  <si>
    <t>Bagh-nakh</t>
  </si>
  <si>
    <t>Gandiva</t>
  </si>
  <si>
    <t>Str+Ath</t>
  </si>
  <si>
    <t>Lift</t>
  </si>
  <si>
    <t>Lift Boost</t>
  </si>
  <si>
    <t>Throw distance</t>
  </si>
  <si>
    <t>Supernatural Bonuses</t>
  </si>
  <si>
    <t>ft</t>
  </si>
  <si>
    <t>FoS Throw</t>
  </si>
  <si>
    <t>Additional Relics</t>
  </si>
  <si>
    <t>STR</t>
  </si>
  <si>
    <t>DEX</t>
  </si>
  <si>
    <t>STA</t>
  </si>
  <si>
    <t>CHA</t>
  </si>
  <si>
    <t>MAN</t>
  </si>
  <si>
    <t>APP</t>
  </si>
  <si>
    <t>PERC</t>
  </si>
  <si>
    <t>INT</t>
  </si>
  <si>
    <t>WITS</t>
  </si>
  <si>
    <t>willpower</t>
  </si>
  <si>
    <t>Legend Points</t>
  </si>
  <si>
    <t>Soak</t>
  </si>
  <si>
    <t>Weapon/Attack</t>
  </si>
  <si>
    <t>Defense</t>
  </si>
  <si>
    <t>Supernatural Powers</t>
  </si>
  <si>
    <t>Other Notes</t>
  </si>
  <si>
    <t>Guides</t>
  </si>
  <si>
    <t>Animal (Cat), Moon, Prophecy, Sun</t>
  </si>
  <si>
    <t>Normal Lift</t>
  </si>
  <si>
    <t>Epic Lift</t>
  </si>
  <si>
    <t>Ability 1</t>
  </si>
  <si>
    <t>Ability 2</t>
  </si>
  <si>
    <t>Ability 3</t>
  </si>
  <si>
    <t>Ability 4</t>
  </si>
  <si>
    <t>Ability 5</t>
  </si>
  <si>
    <t>Ability 6</t>
  </si>
  <si>
    <t>Bonus Boons</t>
  </si>
  <si>
    <t>Str</t>
  </si>
  <si>
    <t>Dex</t>
  </si>
  <si>
    <t>Stam</t>
  </si>
  <si>
    <t>Cha</t>
  </si>
  <si>
    <t>Mani</t>
  </si>
  <si>
    <t>App</t>
  </si>
  <si>
    <t>Perc</t>
  </si>
  <si>
    <t>Int</t>
  </si>
  <si>
    <t>Age</t>
  </si>
  <si>
    <t>Date of Birth</t>
  </si>
  <si>
    <t>Hair Color</t>
  </si>
  <si>
    <t>Eye Color</t>
  </si>
  <si>
    <t>Ethnicity</t>
  </si>
  <si>
    <t>Nationality</t>
  </si>
  <si>
    <t>Height</t>
  </si>
  <si>
    <t>Weight</t>
  </si>
  <si>
    <t>Gender</t>
  </si>
  <si>
    <t>History</t>
  </si>
  <si>
    <t>Other Noteworthy</t>
  </si>
  <si>
    <t>On the Boons table to the left, enter the amount of each rank of boon that you have bought with XP for it to calculate XP spent properly. The rest is a binary system. When you buy a new dot with XP or get one for free from the Storyteller, mark a 1 in the box for that rank. Remember that XP cost for new dots is based on the rank of the dot being purchased, so you need to mark the box for the new rank, not simply tally up how many you've purchased.</t>
  </si>
  <si>
    <t>Will</t>
  </si>
  <si>
    <t>Boon Name</t>
  </si>
  <si>
    <t>Page #</t>
  </si>
  <si>
    <t>Epic Attribute</t>
  </si>
  <si>
    <t>Knack Name</t>
  </si>
  <si>
    <t>Roll</t>
  </si>
  <si>
    <t>Roll Legend</t>
  </si>
  <si>
    <t>Free Successes</t>
  </si>
  <si>
    <t>Def</t>
  </si>
  <si>
    <t>Shockwave</t>
  </si>
  <si>
    <t>And The Crowd Goes Wild</t>
  </si>
  <si>
    <t>Blurt It Out</t>
  </si>
  <si>
    <t>Gods' Honest</t>
  </si>
  <si>
    <t>Overt Order</t>
  </si>
  <si>
    <t>Stench of Guilt</t>
  </si>
  <si>
    <t>Takes One to Know One</t>
  </si>
  <si>
    <t>Advantageous Circumstances</t>
  </si>
  <si>
    <t>Hard Sell</t>
  </si>
  <si>
    <t>Instant Hypnosis</t>
  </si>
  <si>
    <t>Knowing Glance</t>
  </si>
  <si>
    <t>Rumor Mill</t>
  </si>
  <si>
    <t>Implant False Memory</t>
  </si>
  <si>
    <t>Kill the Messenger</t>
  </si>
  <si>
    <t>Mass Hypnosis</t>
  </si>
  <si>
    <t>Secondhand Persuasion</t>
  </si>
  <si>
    <t>Trendsetter</t>
  </si>
  <si>
    <t>Deprogramming</t>
  </si>
  <si>
    <t>Not the Face</t>
  </si>
  <si>
    <t>Return to Sender</t>
  </si>
  <si>
    <t>Center of Attention</t>
  </si>
  <si>
    <t>Come Hither</t>
  </si>
  <si>
    <t>Dreadful Mien</t>
  </si>
  <si>
    <t>Lasting Impression</t>
  </si>
  <si>
    <t>Serpent's Gaze</t>
  </si>
  <si>
    <t>Blinding Visage</t>
  </si>
  <si>
    <t>Compelling Presence</t>
  </si>
  <si>
    <t>Inescapable Vision</t>
  </si>
  <si>
    <t>My Eyes Are Up Here</t>
  </si>
  <si>
    <t>Perfect Actor</t>
  </si>
  <si>
    <t>Detail Variation</t>
  </si>
  <si>
    <t>Doin' Fine</t>
  </si>
  <si>
    <t>Tailor Made</t>
  </si>
  <si>
    <t>Undeniable Resemblance</t>
  </si>
  <si>
    <t>Unusual Alteration</t>
  </si>
  <si>
    <t>Do Not Want</t>
  </si>
  <si>
    <t>Meet Me Backstage</t>
  </si>
  <si>
    <t>Visage Great and Terrible</t>
  </si>
  <si>
    <t>Perfect Pitch</t>
  </si>
  <si>
    <t>Predatory Focus</t>
  </si>
  <si>
    <t>Refined Palate</t>
  </si>
  <si>
    <t>Subliminal Warning</t>
  </si>
  <si>
    <t>Unfailing Recognition</t>
  </si>
  <si>
    <t>Broad-Spectrum Reception</t>
  </si>
  <si>
    <t>Environmental Awareness</t>
  </si>
  <si>
    <t>Spatial Attunement</t>
  </si>
  <si>
    <t>Supernal Hunter</t>
  </si>
  <si>
    <t>Telescopic Senses</t>
  </si>
  <si>
    <t>Clairvoyance</t>
  </si>
  <si>
    <t>Hear Prayers</t>
  </si>
  <si>
    <t>Parallel Attention</t>
  </si>
  <si>
    <t>Rarefield Electromagnetic Perception</t>
  </si>
  <si>
    <t>Sense Fatebound</t>
  </si>
  <si>
    <t>In Your Dreams</t>
  </si>
  <si>
    <t>Real McCoy</t>
  </si>
  <si>
    <t>Scent The Divine</t>
  </si>
  <si>
    <t>Fast Learner</t>
  </si>
  <si>
    <t>Know-It-All</t>
  </si>
  <si>
    <t>Math Genius</t>
  </si>
  <si>
    <t>Perfect Memory</t>
  </si>
  <si>
    <t>Teaching Prodigy</t>
  </si>
  <si>
    <t>Cipher</t>
  </si>
  <si>
    <t>Language Mastery</t>
  </si>
  <si>
    <t>Multitasking</t>
  </si>
  <si>
    <t>Star Pupil</t>
  </si>
  <si>
    <t>Wireless Interface</t>
  </si>
  <si>
    <t>Blockade of Reason</t>
  </si>
  <si>
    <t>Instant Translation</t>
  </si>
  <si>
    <t>Speed Reader</t>
  </si>
  <si>
    <t>Telepathy</t>
  </si>
  <si>
    <t>Well-Read Virgin</t>
  </si>
  <si>
    <t>Axiom</t>
  </si>
  <si>
    <t>Concept to Execution</t>
  </si>
  <si>
    <t>Tactical Planning</t>
  </si>
  <si>
    <t>Instant Investigator</t>
  </si>
  <si>
    <t>Meditative Focus</t>
  </si>
  <si>
    <t>Opening Gambit</t>
  </si>
  <si>
    <t>Rabbit Reflexes</t>
  </si>
  <si>
    <t>Social Chameleon</t>
  </si>
  <si>
    <t>Cobra Reflexes</t>
  </si>
  <si>
    <t>Eternal Vigilance</t>
  </si>
  <si>
    <t>Instant Assessment</t>
  </si>
  <si>
    <t>Monkey in the Middle</t>
  </si>
  <si>
    <t>Perfect Imposter</t>
  </si>
  <si>
    <t>Jack of All Trades</t>
  </si>
  <si>
    <t>Opening Salvo</t>
  </si>
  <si>
    <t>Psychic Profiler</t>
  </si>
  <si>
    <t>Scathing Retort</t>
  </si>
  <si>
    <t>Talent Mirror</t>
  </si>
  <si>
    <t>Adaptive Fighting</t>
  </si>
  <si>
    <t>Between the Ticks</t>
  </si>
  <si>
    <t>Don't Read the Manual</t>
  </si>
  <si>
    <t>Hang On</t>
  </si>
  <si>
    <t>Fast as Thought</t>
  </si>
  <si>
    <t>Raise Your Glass</t>
  </si>
  <si>
    <t>Whale's Breath</t>
  </si>
  <si>
    <t>Game Face</t>
  </si>
  <si>
    <t>Fool Me Once…</t>
  </si>
  <si>
    <t>Fight With Your Head</t>
  </si>
  <si>
    <t>Hurl to the Horizon</t>
  </si>
  <si>
    <t>Demi</t>
  </si>
  <si>
    <t>Comp</t>
  </si>
  <si>
    <t>Knackback Attack</t>
  </si>
  <si>
    <t>My Eyes Are Up here</t>
  </si>
  <si>
    <t>Takes One To Know One</t>
  </si>
  <si>
    <t>1 Legend</t>
  </si>
  <si>
    <t>1 Willpower</t>
  </si>
  <si>
    <t>5 Legend</t>
  </si>
  <si>
    <t>10 Legend</t>
  </si>
  <si>
    <t>2 Legend</t>
  </si>
  <si>
    <t>3 Legend</t>
  </si>
  <si>
    <t>1 Legend per scene</t>
  </si>
  <si>
    <t>1 Legend (Optional)</t>
  </si>
  <si>
    <t>1 Willpower + (1 Legend per Sq Yd)</t>
  </si>
  <si>
    <t>3 Legend per scene</t>
  </si>
  <si>
    <t>1 Legend per health level</t>
  </si>
  <si>
    <t>1 Legend + 1 Willpower</t>
  </si>
  <si>
    <t>5 Legend per dose</t>
  </si>
  <si>
    <t>1 Willpower + 1 Legend</t>
  </si>
  <si>
    <t>Varies</t>
  </si>
  <si>
    <t>Animal Communication</t>
  </si>
  <si>
    <t>Animal Command</t>
  </si>
  <si>
    <t>Animal Aspect</t>
  </si>
  <si>
    <t>Eye of the Storm</t>
  </si>
  <si>
    <t>Hornet's Nest</t>
  </si>
  <si>
    <t>Paralyzing Confusion</t>
  </si>
  <si>
    <t>Night Eyes</t>
  </si>
  <si>
    <t>Shadow Mask</t>
  </si>
  <si>
    <t>Shadow Refuge</t>
  </si>
  <si>
    <t>Death Sense</t>
  </si>
  <si>
    <t>Euthanasia</t>
  </si>
  <si>
    <t>Unquiet Corpse</t>
  </si>
  <si>
    <t>Safely Interred</t>
  </si>
  <si>
    <t>Echo Sounding</t>
  </si>
  <si>
    <t>Shaping</t>
  </si>
  <si>
    <t>Green Thumb</t>
  </si>
  <si>
    <t>Cleanse</t>
  </si>
  <si>
    <t>Bless or Blight</t>
  </si>
  <si>
    <t>Fire Immunity</t>
  </si>
  <si>
    <t>Bolster Fire</t>
  </si>
  <si>
    <t>Fire's Eye</t>
  </si>
  <si>
    <t>Vigil Brand</t>
  </si>
  <si>
    <t>Aegis</t>
  </si>
  <si>
    <t>Ward</t>
  </si>
  <si>
    <t>Assess Health</t>
  </si>
  <si>
    <t>Blessing of Health/Curse of Frailty</t>
  </si>
  <si>
    <t>Heal/Infect</t>
  </si>
  <si>
    <t>Judgment</t>
  </si>
  <si>
    <t>Guilt Apparitions</t>
  </si>
  <si>
    <t>Shield of Righteousness</t>
  </si>
  <si>
    <t>Smoking Mirror</t>
  </si>
  <si>
    <t>Tidal Interference</t>
  </si>
  <si>
    <t>Phase Cloak</t>
  </si>
  <si>
    <t>Unerring Orientation</t>
  </si>
  <si>
    <t>Where Are You?</t>
  </si>
  <si>
    <t>Unbarred Entry</t>
  </si>
  <si>
    <t>Sky's Grace</t>
  </si>
  <si>
    <t>Wind's Freedom</t>
  </si>
  <si>
    <t>Storm Augmentation</t>
  </si>
  <si>
    <t>Penetrating Glare</t>
  </si>
  <si>
    <t>Divine Radiance</t>
  </si>
  <si>
    <t>Heavenly Flare</t>
  </si>
  <si>
    <t>Blessing of Bravery</t>
  </si>
  <si>
    <t>Battle Cry</t>
  </si>
  <si>
    <t>Warrior Ideal</t>
  </si>
  <si>
    <t>Water Breathing</t>
  </si>
  <si>
    <t>Water Control</t>
  </si>
  <si>
    <t>Changing States</t>
  </si>
  <si>
    <t>Arete 1</t>
  </si>
  <si>
    <t>Arete 2</t>
  </si>
  <si>
    <t>Arete 3</t>
  </si>
  <si>
    <t>Rada's Eyes</t>
  </si>
  <si>
    <t>Petro's Hand</t>
  </si>
  <si>
    <t>Horse</t>
  </si>
  <si>
    <t>Ren Harvest</t>
  </si>
  <si>
    <t>Sekem Blaze</t>
  </si>
  <si>
    <t>Sekem Barrier</t>
  </si>
  <si>
    <t>Maguey Sting</t>
  </si>
  <si>
    <t>Combat Sacrifice</t>
  </si>
  <si>
    <t>Obsidian Mutilation</t>
  </si>
  <si>
    <t>Bestial Endowment</t>
  </si>
  <si>
    <t>Human Endowment</t>
  </si>
  <si>
    <t>Heroic Endowment</t>
  </si>
  <si>
    <t>The Wakeful Spirit</t>
  </si>
  <si>
    <t>The Watchful Spirit</t>
  </si>
  <si>
    <t>The Helpful Spirit</t>
  </si>
  <si>
    <t>Ariadne's Thread</t>
  </si>
  <si>
    <t>The Unlidded Eye</t>
  </si>
  <si>
    <t>Bona Fortuna</t>
  </si>
  <si>
    <t>Evil Eye</t>
  </si>
  <si>
    <t>Trading Fates</t>
  </si>
  <si>
    <t>Deus Ex Machina</t>
  </si>
  <si>
    <t>Demand A Labor</t>
  </si>
  <si>
    <t>Mystery 1</t>
  </si>
  <si>
    <t>Mystery 2</t>
  </si>
  <si>
    <t>Mystery 3</t>
  </si>
  <si>
    <t>Prophecy 1</t>
  </si>
  <si>
    <t>Prophecy 2</t>
  </si>
  <si>
    <t>Prophecy 3</t>
  </si>
  <si>
    <t>Ride Animal</t>
  </si>
  <si>
    <t>Animal Feature</t>
  </si>
  <si>
    <t>Animal Form</t>
  </si>
  <si>
    <t>Create Animal</t>
  </si>
  <si>
    <t>Sabot</t>
  </si>
  <si>
    <t>Recurring Distraction</t>
  </si>
  <si>
    <t>Crawling Chaos</t>
  </si>
  <si>
    <t>Instant Riot</t>
  </si>
  <si>
    <t>Shadow Step</t>
  </si>
  <si>
    <t>Shadow Craft</t>
  </si>
  <si>
    <t>Shadow Shroud</t>
  </si>
  <si>
    <t>Shadow Bodies</t>
  </si>
  <si>
    <t>Summon Ghost</t>
  </si>
  <si>
    <t>Mother's Touch</t>
  </si>
  <si>
    <t>Exorcism</t>
  </si>
  <si>
    <t>Haunted Mists</t>
  </si>
  <si>
    <t>Earth Armor</t>
  </si>
  <si>
    <t>Earth Travel</t>
  </si>
  <si>
    <t>Earth Body</t>
  </si>
  <si>
    <t>Landslide</t>
  </si>
  <si>
    <t>Natural Comoflage</t>
  </si>
  <si>
    <t>Twist Plants</t>
  </si>
  <si>
    <t>Accelerate Growth</t>
  </si>
  <si>
    <t>Verdant Creation</t>
  </si>
  <si>
    <t>Blazing Weapon</t>
  </si>
  <si>
    <t>Flame Travel</t>
  </si>
  <si>
    <t>Inferno</t>
  </si>
  <si>
    <t>Devil Body</t>
  </si>
  <si>
    <t>Unseen Shield</t>
  </si>
  <si>
    <t>Come Running</t>
  </si>
  <si>
    <t>Confer Knack</t>
  </si>
  <si>
    <t>Confer Immunity</t>
  </si>
  <si>
    <t>Cradlesong</t>
  </si>
  <si>
    <t>Control Aging</t>
  </si>
  <si>
    <t>Restore/Wither</t>
  </si>
  <si>
    <t>Holy Font/Epidemic</t>
  </si>
  <si>
    <t>Dream Wrack</t>
  </si>
  <si>
    <t>Scarlet Letter</t>
  </si>
  <si>
    <t>Sympathy Pains</t>
  </si>
  <si>
    <t>Psychic Prison</t>
  </si>
  <si>
    <t>Lunacy</t>
  </si>
  <si>
    <t>Eclipse Halo</t>
  </si>
  <si>
    <t>Phase Body</t>
  </si>
  <si>
    <t>Moon Chariot</t>
  </si>
  <si>
    <t>Come Along</t>
  </si>
  <si>
    <t>Terra Incognita</t>
  </si>
  <si>
    <t>Marathon Sprinter</t>
  </si>
  <si>
    <t>Rainbow Bridge</t>
  </si>
  <si>
    <t>Wind Grapple</t>
  </si>
  <si>
    <t>Cloud Sculptor</t>
  </si>
  <si>
    <t>Levin Fury</t>
  </si>
  <si>
    <t>Tornado Tamer</t>
  </si>
  <si>
    <t>Flare Missile</t>
  </si>
  <si>
    <t>Burn</t>
  </si>
  <si>
    <t>Solar Prominence</t>
  </si>
  <si>
    <t>Sun Chariot</t>
  </si>
  <si>
    <t>Battle Map</t>
  </si>
  <si>
    <t>Morale Failure</t>
  </si>
  <si>
    <t>Army of One</t>
  </si>
  <si>
    <t>Colossus Armor</t>
  </si>
  <si>
    <t>Create Water</t>
  </si>
  <si>
    <t>Desiccate</t>
  </si>
  <si>
    <t>Water Mastery</t>
  </si>
  <si>
    <t>Water Vortex</t>
  </si>
  <si>
    <t>Arete 4</t>
  </si>
  <si>
    <t>Arete 5</t>
  </si>
  <si>
    <t>Arete 6</t>
  </si>
  <si>
    <t>Arete 7</t>
  </si>
  <si>
    <t>Mind-Riding</t>
  </si>
  <si>
    <t>Waking Zombie</t>
  </si>
  <si>
    <t>Met Tet</t>
  </si>
  <si>
    <t>Team</t>
  </si>
  <si>
    <t>Influence Ba</t>
  </si>
  <si>
    <t>Heart Scarab</t>
  </si>
  <si>
    <t>Khaibit Trap</t>
  </si>
  <si>
    <t>Awakening the Akh</t>
  </si>
  <si>
    <t>Obsidian Excruciation</t>
  </si>
  <si>
    <t>Sacrifice of Will</t>
  </si>
  <si>
    <t>Poco A Poco</t>
  </si>
  <si>
    <t>The Burning Heart</t>
  </si>
  <si>
    <t>Supernal Bestial Endowment</t>
  </si>
  <si>
    <t>Supernal Human Endowment</t>
  </si>
  <si>
    <t>Epic Endowment</t>
  </si>
  <si>
    <t>Divine Endowment</t>
  </si>
  <si>
    <t>The Summoned Spirit</t>
  </si>
  <si>
    <t>The Impressed Spirit</t>
  </si>
  <si>
    <t>The Blinded Spirit</t>
  </si>
  <si>
    <t>The Abducted Spirit</t>
  </si>
  <si>
    <t>Fateful Connection</t>
  </si>
  <si>
    <t>Fate Prison</t>
  </si>
  <si>
    <t>Fate and Switch</t>
  </si>
  <si>
    <t>Transform Person</t>
  </si>
  <si>
    <t>Mystery 4</t>
  </si>
  <si>
    <t>Mystery 5</t>
  </si>
  <si>
    <t>Mystery 6</t>
  </si>
  <si>
    <t>Mystery 7</t>
  </si>
  <si>
    <t>Prophecy 4</t>
  </si>
  <si>
    <t>Prophecy 5</t>
  </si>
  <si>
    <t>Prophecy 6</t>
  </si>
  <si>
    <t>Prophecy 7</t>
  </si>
  <si>
    <t>Epic Enhancement</t>
  </si>
  <si>
    <t>Hybrid Chimera</t>
  </si>
  <si>
    <t>Protean Understanding</t>
  </si>
  <si>
    <t>Avatar of Animal (The Beast)</t>
  </si>
  <si>
    <t>Insanity</t>
  </si>
  <si>
    <t>Shuck Fate</t>
  </si>
  <si>
    <t>Unintended Purpose</t>
  </si>
  <si>
    <t>Avatar of Chaos (The Void)</t>
  </si>
  <si>
    <t>Strike Blind</t>
  </si>
  <si>
    <t>Oubliette</t>
  </si>
  <si>
    <t>Eclipse</t>
  </si>
  <si>
    <t>Avatar of Darkness (The Abyss)</t>
  </si>
  <si>
    <t>Open Underworld Portal</t>
  </si>
  <si>
    <t>Ghost Control</t>
  </si>
  <si>
    <t>Strike Dead/Deny Death</t>
  </si>
  <si>
    <t>Avatar of Death (The Reaper)</t>
  </si>
  <si>
    <t>Earth Creation</t>
  </si>
  <si>
    <t>Property Infusion</t>
  </si>
  <si>
    <t>Magma Control</t>
  </si>
  <si>
    <t>Avatar of Earth (The Shaper)</t>
  </si>
  <si>
    <t>Eternal Bloom</t>
  </si>
  <si>
    <t>Impossible Hybrid</t>
  </si>
  <si>
    <t>Endless Season</t>
  </si>
  <si>
    <t>Avatar of Fertility (The Green)</t>
  </si>
  <si>
    <t>Control Fire</t>
  </si>
  <si>
    <t>Ifrit</t>
  </si>
  <si>
    <t>Rain of Fire</t>
  </si>
  <si>
    <t>Avatar of Fire (The Devourer)</t>
  </si>
  <si>
    <t>Appropriated Vigil</t>
  </si>
  <si>
    <t>Divine Resolve</t>
  </si>
  <si>
    <t>Salvation Sacrifice</t>
  </si>
  <si>
    <t>Avatar of Guardian (The Sentinel)</t>
  </si>
  <si>
    <t>Human Clay</t>
  </si>
  <si>
    <t>Human Hybrid</t>
  </si>
  <si>
    <t>Plague/Cure</t>
  </si>
  <si>
    <t>Avatar of Health (The Savior/The Scourge)</t>
  </si>
  <si>
    <t>Sanctify Oath</t>
  </si>
  <si>
    <t>Overworld Judgment</t>
  </si>
  <si>
    <t>Divine Enforcement</t>
  </si>
  <si>
    <t>Tranquility</t>
  </si>
  <si>
    <t>Lunar Estate</t>
  </si>
  <si>
    <t>Finger Moon</t>
  </si>
  <si>
    <t>Avatar of Moon (The Mirror)</t>
  </si>
  <si>
    <t>Ride Along</t>
  </si>
  <si>
    <t>Otherworldly Portal</t>
  </si>
  <si>
    <t>Co-Location</t>
  </si>
  <si>
    <t>Avatar of Psychopomp (The Way)</t>
  </si>
  <si>
    <t>Create Air</t>
  </si>
  <si>
    <t>Cloud Body</t>
  </si>
  <si>
    <t>Weather Husbandry</t>
  </si>
  <si>
    <t>Avatar of Sky (The Storm)</t>
  </si>
  <si>
    <t>Inexorable Gravity</t>
  </si>
  <si>
    <t>Bleach</t>
  </si>
  <si>
    <t>Solar Crown</t>
  </si>
  <si>
    <t>Avatar of Sun (The Glory)</t>
  </si>
  <si>
    <t>Blessing of Ammunition</t>
  </si>
  <si>
    <t>Follower Army</t>
  </si>
  <si>
    <t>Surreal Draft</t>
  </si>
  <si>
    <t>Avatar of War (The General)</t>
  </si>
  <si>
    <t>Purify Water</t>
  </si>
  <si>
    <t>Liquid Form</t>
  </si>
  <si>
    <t>Tsunami</t>
  </si>
  <si>
    <t>Avatar of Water (The Flood)</t>
  </si>
  <si>
    <t>Arete 8</t>
  </si>
  <si>
    <t>Arete 9</t>
  </si>
  <si>
    <t>Arete 10</t>
  </si>
  <si>
    <t>Met Tet's Claim</t>
  </si>
  <si>
    <t>Upside-Down Horse</t>
  </si>
  <si>
    <t>Ugly Mule</t>
  </si>
  <si>
    <t>Ka Repository</t>
  </si>
  <si>
    <t>Khaibit Guide</t>
  </si>
  <si>
    <t>Ren Theft</t>
  </si>
  <si>
    <t>Reception of Sacrifice</t>
  </si>
  <si>
    <t>Communal Divinity</t>
  </si>
  <si>
    <t>Familial Sacrifice</t>
  </si>
  <si>
    <t>Dire Endowment</t>
  </si>
  <si>
    <t>Giant</t>
  </si>
  <si>
    <t>Eitr Antivenin</t>
  </si>
  <si>
    <t>The Industrious Spirit</t>
  </si>
  <si>
    <t>The Dancing Spirit</t>
  </si>
  <si>
    <t>The Relocated Spirit</t>
  </si>
  <si>
    <t>Birthright Bond</t>
  </si>
  <si>
    <t>Scion Adoption Rite</t>
  </si>
  <si>
    <t>Divine Unweaving</t>
  </si>
  <si>
    <t>Avatar of Magic (The Wyrd)</t>
  </si>
  <si>
    <t>Mystery 8</t>
  </si>
  <si>
    <t>Mystery 9</t>
  </si>
  <si>
    <t>Mystery 10</t>
  </si>
  <si>
    <t>Avatar if Mystery (The Wyrd)</t>
  </si>
  <si>
    <t>Prophecy 8</t>
  </si>
  <si>
    <t>Prophecy 9</t>
  </si>
  <si>
    <t>Prophecy 10</t>
  </si>
  <si>
    <t>Avatar of Prophecy (The Wyrd)</t>
  </si>
  <si>
    <t>Amnis</t>
  </si>
  <si>
    <t>Badarus</t>
  </si>
  <si>
    <t>Demosia</t>
  </si>
  <si>
    <t>Heshon</t>
  </si>
  <si>
    <t>Kuros</t>
  </si>
  <si>
    <t>Skaft</t>
  </si>
  <si>
    <t>Versak</t>
  </si>
  <si>
    <t>Scire</t>
  </si>
  <si>
    <t>Epic Charisma, Epic Stamina, Epic Intelligence</t>
  </si>
  <si>
    <t>Earth, Guardian, Health, Water</t>
  </si>
  <si>
    <t>Epic Intelligence, Epic Stamina</t>
  </si>
  <si>
    <t>Animal (Sea Snake), Earth, Mystery, Psychopomp, Water</t>
  </si>
  <si>
    <t>Epic Appearance, Epic Perception, Epic Wits</t>
  </si>
  <si>
    <t>Animal (Bat), Darkness, Moon, Magic, Mystery</t>
  </si>
  <si>
    <t>Epic Appearance, Epic Dexterity, Epic Strength</t>
  </si>
  <si>
    <t>Animal (Terror Bird), Chaos, Fertility, Magic</t>
  </si>
  <si>
    <t>Magic, Psychopomp, Sky</t>
  </si>
  <si>
    <t>Epic Charisma, Epic Intelligence, Epic Perception, Epic Wits</t>
  </si>
  <si>
    <t>Epic Intelligence, Epic Manipulation, Epic Perception</t>
  </si>
  <si>
    <t>Death, Guardian, Justice</t>
  </si>
  <si>
    <t>Atlanteans</t>
  </si>
  <si>
    <t xml:space="preserve"> -- Atlanteans</t>
  </si>
  <si>
    <t>Riastrad</t>
  </si>
  <si>
    <t>Brehon's Eye</t>
  </si>
  <si>
    <t>Hero's Geas</t>
  </si>
  <si>
    <t>Lay Token Geas</t>
  </si>
  <si>
    <t>Body and Spirit</t>
  </si>
  <si>
    <t>Bard's Tongue</t>
  </si>
  <si>
    <t>Lay Potent Geas</t>
  </si>
  <si>
    <t>Assumption of the Land</t>
  </si>
  <si>
    <t>Lay Mortal Geas</t>
  </si>
  <si>
    <t>Twist Geas</t>
  </si>
  <si>
    <t>Beyond the Ninth Wave</t>
  </si>
  <si>
    <t>Fundamental</t>
  </si>
  <si>
    <t>Literati</t>
  </si>
  <si>
    <t>Intuitive Adaptation</t>
  </si>
  <si>
    <t>Consequence</t>
  </si>
  <si>
    <t>Proper Tool</t>
  </si>
  <si>
    <t>Remote Control</t>
  </si>
  <si>
    <t>Masterful Vector</t>
  </si>
  <si>
    <t>Anticipation</t>
  </si>
  <si>
    <t>Deep Secret</t>
  </si>
  <si>
    <t>Ultimate Effect</t>
  </si>
  <si>
    <t>Faunaphagia</t>
  </si>
  <si>
    <t>Paper Tiger</t>
  </si>
  <si>
    <t>Labyrinthine Lingering</t>
  </si>
  <si>
    <t>Unlikely Pattern</t>
  </si>
  <si>
    <t>Afraid of the Dark</t>
  </si>
  <si>
    <t>Absorb Light</t>
  </si>
  <si>
    <t>Delay Rot</t>
  </si>
  <si>
    <t>Death of the Soul</t>
  </si>
  <si>
    <t>Rust/Shine</t>
  </si>
  <si>
    <t>Imprisoning Crystal</t>
  </si>
  <si>
    <t>Toxic Thorn</t>
  </si>
  <si>
    <t>Greenskin</t>
  </si>
  <si>
    <t>Flamin' Bullets</t>
  </si>
  <si>
    <t>Hotter than Hot</t>
  </si>
  <si>
    <t>Warning Line</t>
  </si>
  <si>
    <t>Watcher at the Threshold</t>
  </si>
  <si>
    <t>Bolster</t>
  </si>
  <si>
    <t>Antidote</t>
  </si>
  <si>
    <t>Guilt of the Damned</t>
  </si>
  <si>
    <t>Star Chamber</t>
  </si>
  <si>
    <t>Silver Blessing</t>
  </si>
  <si>
    <t>Mirror of Lunacy</t>
  </si>
  <si>
    <t>Spirit Lamp</t>
  </si>
  <si>
    <t>Heart of the Maze</t>
  </si>
  <si>
    <t>Weather Witch</t>
  </si>
  <si>
    <t>Divine Threnody</t>
  </si>
  <si>
    <t>Life-Giving Rays</t>
  </si>
  <si>
    <t>Fusion</t>
  </si>
  <si>
    <t>Mortal Stroke</t>
  </si>
  <si>
    <t>Siege Juggernaut</t>
  </si>
  <si>
    <t>Potability</t>
  </si>
  <si>
    <t>Drown</t>
  </si>
  <si>
    <t>Measured Foe</t>
  </si>
  <si>
    <t>Legendary Surge</t>
  </si>
  <si>
    <t>Tugging Heartstrings</t>
  </si>
  <si>
    <t>Bound Spirit</t>
  </si>
  <si>
    <t>Sanctify Band</t>
  </si>
  <si>
    <t>Meddlesome Fates</t>
  </si>
  <si>
    <t>Transient Visitation</t>
  </si>
  <si>
    <t>Steal Birthright</t>
  </si>
  <si>
    <t>Heart of Mine</t>
  </si>
  <si>
    <t>Magical Purge</t>
  </si>
  <si>
    <t>Five-Cycle Augmentation</t>
  </si>
  <si>
    <t>Yin-Yang Destruction</t>
  </si>
  <si>
    <t>Five-Cycle Conjunction</t>
  </si>
  <si>
    <t>Eight Trigram Tansformation</t>
  </si>
  <si>
    <t>QI Hand</t>
  </si>
  <si>
    <t>Living Hexagram Metamorphosis</t>
  </si>
  <si>
    <t>Ressurection Anchor</t>
  </si>
  <si>
    <t>Divinize Kuei</t>
  </si>
  <si>
    <t>Grand Unity Transformation</t>
  </si>
  <si>
    <t>Reshape Shen</t>
  </si>
  <si>
    <t>Kriya</t>
  </si>
  <si>
    <t>Karma</t>
  </si>
  <si>
    <t>Pratyave</t>
  </si>
  <si>
    <t>Tantra</t>
  </si>
  <si>
    <t>Bhava</t>
  </si>
  <si>
    <t>Avidya</t>
  </si>
  <si>
    <t>Mahaprasthana</t>
  </si>
  <si>
    <t>Maya</t>
  </si>
  <si>
    <t>Samsarana</t>
  </si>
  <si>
    <t>Moksha</t>
  </si>
  <si>
    <t>Storm the Gates</t>
  </si>
  <si>
    <t>Work Harder</t>
  </si>
  <si>
    <t>Work Smarter</t>
  </si>
  <si>
    <t>Fixit</t>
  </si>
  <si>
    <t>Gremlins</t>
  </si>
  <si>
    <t>Supply Chain</t>
  </si>
  <si>
    <t>Fire In The Belly</t>
  </si>
  <si>
    <t>Jury Rig</t>
  </si>
  <si>
    <t>Assembly Line</t>
  </si>
  <si>
    <t>Innovate</t>
  </si>
  <si>
    <t>The Project</t>
  </si>
  <si>
    <t>Distraction Maneuver</t>
  </si>
  <si>
    <t>Pool Ammo</t>
  </si>
  <si>
    <t>Gift of Virtue</t>
  </si>
  <si>
    <t>Gift of Health</t>
  </si>
  <si>
    <t>Gift of Ability</t>
  </si>
  <si>
    <t>Gift of Attribute</t>
  </si>
  <si>
    <t>Gift of Defense</t>
  </si>
  <si>
    <t>Pool Life</t>
  </si>
  <si>
    <t>One For All</t>
  </si>
  <si>
    <t>All For One</t>
  </si>
  <si>
    <t>Yaz</t>
  </si>
  <si>
    <t>Humata</t>
  </si>
  <si>
    <t>Hukhta</t>
  </si>
  <si>
    <t>Havarastra</t>
  </si>
  <si>
    <t>Amesha Spenta Yasht</t>
  </si>
  <si>
    <t>Amesha Spenta</t>
  </si>
  <si>
    <t>Amesha Spenta Yasht 2</t>
  </si>
  <si>
    <t>Amesha Spenta Yasht 3</t>
  </si>
  <si>
    <t>Amesha Spenta Yasht 4</t>
  </si>
  <si>
    <t>Seta Amesha Spenta</t>
  </si>
  <si>
    <t>Ashavan</t>
  </si>
  <si>
    <t>Perfect Timing</t>
  </si>
  <si>
    <t>Sense Age</t>
  </si>
  <si>
    <t>Aurora</t>
  </si>
  <si>
    <t>Still Object</t>
  </si>
  <si>
    <t>Twist Time</t>
  </si>
  <si>
    <t>Lucky Star</t>
  </si>
  <si>
    <t>Starfire</t>
  </si>
  <si>
    <t>Frozen Moment</t>
  </si>
  <si>
    <t>Celestial Estate</t>
  </si>
  <si>
    <t>Cloak of Stars</t>
  </si>
  <si>
    <t>Avatar of Stars (The Crown)</t>
  </si>
  <si>
    <t>Rag</t>
  </si>
  <si>
    <t>Frost Immunity</t>
  </si>
  <si>
    <t>Uller's Stride</t>
  </si>
  <si>
    <t>Hrimthurssar's Touch</t>
  </si>
  <si>
    <t>Frozen Panoply</t>
  </si>
  <si>
    <t>Winter's Misery</t>
  </si>
  <si>
    <t>Chill the Blood</t>
  </si>
  <si>
    <t>Blizzard Call</t>
  </si>
  <si>
    <t>Frozen Heart</t>
  </si>
  <si>
    <t>Flash Freeze</t>
  </si>
  <si>
    <t>Ymir's Hand</t>
  </si>
  <si>
    <t>Avatar of Frost (The Cold)</t>
  </si>
  <si>
    <t>The Subtle Knife</t>
  </si>
  <si>
    <t>Stolen Face</t>
  </si>
  <si>
    <t>I Say Thee Nay!</t>
  </si>
  <si>
    <t>Virility/Muliedrity</t>
  </si>
  <si>
    <t>Fury of War</t>
  </si>
  <si>
    <t>Fool's Gold</t>
  </si>
  <si>
    <t>Dreamcraft</t>
  </si>
  <si>
    <t>Loaned Identity</t>
  </si>
  <si>
    <t>Fansastic Vista</t>
  </si>
  <si>
    <t>Hidden Name</t>
  </si>
  <si>
    <t>Dreamworld</t>
  </si>
  <si>
    <t>False Pretenses</t>
  </si>
  <si>
    <t>The Best Trick</t>
  </si>
  <si>
    <t>Avatar of Illusion (The Trickster)</t>
  </si>
  <si>
    <t>Peaceful Meeting</t>
  </si>
  <si>
    <t>Traitor's Toast</t>
  </si>
  <si>
    <t>Illwind Curse</t>
  </si>
  <si>
    <t>Blood Mead</t>
  </si>
  <si>
    <t>Avoid a Fate</t>
  </si>
  <si>
    <t>Beast Shape</t>
  </si>
  <si>
    <t>Intelligence + Animal Ken</t>
  </si>
  <si>
    <t>Charisma + Animal Ken</t>
  </si>
  <si>
    <t>1 Legend Per Action</t>
  </si>
  <si>
    <t>Stamina + Animal Ken</t>
  </si>
  <si>
    <t>1 Legend Per Scene</t>
  </si>
  <si>
    <t>Intelligence + Awareness</t>
  </si>
  <si>
    <t>Wits + Empathy</t>
  </si>
  <si>
    <t>Dexterity + Larceny</t>
  </si>
  <si>
    <t>Dexterity + Stealth</t>
  </si>
  <si>
    <t>Perception + Empathy</t>
  </si>
  <si>
    <t>Charisma + Command</t>
  </si>
  <si>
    <t>Perception + Awareness</t>
  </si>
  <si>
    <t>Dexterity + Craft</t>
  </si>
  <si>
    <t>Stamina + Survival</t>
  </si>
  <si>
    <t>Stamina + Fortitude</t>
  </si>
  <si>
    <t>Stamina + Medicine</t>
  </si>
  <si>
    <t>Manipulation + Integrity</t>
  </si>
  <si>
    <t>Strength + Presence</t>
  </si>
  <si>
    <t>1 Legend per attack</t>
  </si>
  <si>
    <t>Appearance + Presence</t>
  </si>
  <si>
    <t>Charisma + Presence</t>
  </si>
  <si>
    <t>1 Lethal health level</t>
  </si>
  <si>
    <t>1 lethal health level per legend</t>
  </si>
  <si>
    <t>1 lethal health level + 1 legend</t>
  </si>
  <si>
    <t>1 lethal health level + 2 legend</t>
  </si>
  <si>
    <t>1 lethal health level + 3 legend</t>
  </si>
  <si>
    <t>1 legend per die of improvement</t>
  </si>
  <si>
    <t>dice penalties + fatebinding</t>
  </si>
  <si>
    <t>1 or more legend + fatebinding</t>
  </si>
  <si>
    <t>1 legend + fatebinding</t>
  </si>
  <si>
    <t>Intelligence + Control</t>
  </si>
  <si>
    <t>Charisma + Empathy</t>
  </si>
  <si>
    <t>Appearance + Command</t>
  </si>
  <si>
    <t>Charisma + Occult</t>
  </si>
  <si>
    <t>Presence + Survival</t>
  </si>
  <si>
    <t>Perception + Occult</t>
  </si>
  <si>
    <t>Wits + Occult</t>
  </si>
  <si>
    <t>Manipulation + Presence</t>
  </si>
  <si>
    <t>Wits + Presence</t>
  </si>
  <si>
    <t>Intelligence + Mystery</t>
  </si>
  <si>
    <t>Intelligence + Prophecy</t>
  </si>
  <si>
    <t>1 Legend per point of penalty</t>
  </si>
  <si>
    <t>1 to 5 Legend</t>
  </si>
  <si>
    <t>1 Legend per weapon</t>
  </si>
  <si>
    <t>1 Legend per Virtue Extremity per person</t>
  </si>
  <si>
    <t>1 Legend per 200 lbs</t>
  </si>
  <si>
    <t>1 Legend per person</t>
  </si>
  <si>
    <t>1 Legend per 200 miles</t>
  </si>
  <si>
    <t>3 Legend per attack</t>
  </si>
  <si>
    <t>4 Legend per dot of Epic Strength (max 16)</t>
  </si>
  <si>
    <t>1 Legend per missile</t>
  </si>
  <si>
    <t>1 Legend per 5 troops</t>
  </si>
  <si>
    <t>2 legend per duplicate</t>
  </si>
  <si>
    <t>2 legend per quantity</t>
  </si>
  <si>
    <t>5 legend</t>
  </si>
  <si>
    <t>1 aggravated health level per 5 (or 6) Legend</t>
  </si>
  <si>
    <t>One Heart</t>
  </si>
  <si>
    <t>1 Lethal Health level + 4 Legend</t>
  </si>
  <si>
    <t>1 lethal health level + 5 Legend</t>
  </si>
  <si>
    <t>1 Lethal health level + 6 Legend</t>
  </si>
  <si>
    <t>1 lethal health level + 7 Legend</t>
  </si>
  <si>
    <t>1 Legend (to transport)</t>
  </si>
  <si>
    <t>1 Legend per dot of Boon</t>
  </si>
  <si>
    <t>Intelligence + Craft</t>
  </si>
  <si>
    <t>Dexterity + Art</t>
  </si>
  <si>
    <t>Strength + Craft</t>
  </si>
  <si>
    <t>Intelligence + Survival</t>
  </si>
  <si>
    <t>Charisma + Craft</t>
  </si>
  <si>
    <t>Manipulation + Medicine</t>
  </si>
  <si>
    <t>Intelligence + Medicine</t>
  </si>
  <si>
    <t>Intelligence + Empathy</t>
  </si>
  <si>
    <t>Wits + Command</t>
  </si>
  <si>
    <t>Strength + Control</t>
  </si>
  <si>
    <t>Wits + Brawl</t>
  </si>
  <si>
    <t>Wits + Marksmanship</t>
  </si>
  <si>
    <t>Wits + Control</t>
  </si>
  <si>
    <t>Stamina + Command</t>
  </si>
  <si>
    <t>Stamina + Craft</t>
  </si>
  <si>
    <t>Strength + Medicine</t>
  </si>
  <si>
    <t>Manipulation + Cheval</t>
  </si>
  <si>
    <t>Intelligence + Occult</t>
  </si>
  <si>
    <t>Manipulation + Occult</t>
  </si>
  <si>
    <t>Charisma + Tsukumo-Gami</t>
  </si>
  <si>
    <t>Manipulation + Empathy</t>
  </si>
  <si>
    <t>Dexterity + Occult</t>
  </si>
  <si>
    <t>1 Will</t>
  </si>
  <si>
    <t>1 Will + 1 Legend</t>
  </si>
  <si>
    <t>1 Legend + 1 Will</t>
  </si>
  <si>
    <t>1 Legend OR 1 Will</t>
  </si>
  <si>
    <t>1 Legend + 1 Will per scene</t>
  </si>
  <si>
    <t>1 Will + (1 Legend per feature)</t>
  </si>
  <si>
    <t>1 Will + 3 Legend</t>
  </si>
  <si>
    <t>1 Will + 5 Legend</t>
  </si>
  <si>
    <t>1 Will or (1 legend + 1 Will)</t>
  </si>
  <si>
    <t>1 Legend or (3 Legend + 1 Will)</t>
  </si>
  <si>
    <t>2 Legend + 1 Will</t>
  </si>
  <si>
    <t>1 Will Dot</t>
  </si>
  <si>
    <t>1 Legend or (1 legend + 1 Will)</t>
  </si>
  <si>
    <t>1 Will + 1 Legend (+1 Legend per extra person)</t>
  </si>
  <si>
    <t>1 Will + 10 legend</t>
  </si>
  <si>
    <t>1 legend + 1 Will</t>
  </si>
  <si>
    <t>1 Will to create; 1 legend to activate</t>
  </si>
  <si>
    <t>3 Legend (+1 Will)</t>
  </si>
  <si>
    <t>1 Will + 2 Legend</t>
  </si>
  <si>
    <t>Roll 27</t>
  </si>
  <si>
    <t>1 Legend per year</t>
  </si>
  <si>
    <t>1 Legend per DV penalty</t>
  </si>
  <si>
    <t>Cost 54</t>
  </si>
  <si>
    <t>10, 15 or 20 Legend</t>
  </si>
  <si>
    <t>5+ Legend</t>
  </si>
  <si>
    <t>1 Legend per Cubic Yard</t>
  </si>
  <si>
    <t>5 Legend per Property</t>
  </si>
  <si>
    <t>2 Legend per plant/patch</t>
  </si>
  <si>
    <t>15 Legend</t>
  </si>
  <si>
    <t>1 Legend or 5 Legend</t>
  </si>
  <si>
    <t>2 Legend per attack</t>
  </si>
  <si>
    <t>Avatar of Justice (The Arbiter)</t>
  </si>
  <si>
    <t>5 Legend or 10 Legend</t>
  </si>
  <si>
    <t>(1 Will + 5 Legend) or 1 Will Dot</t>
  </si>
  <si>
    <t>1 will + 30 Legend</t>
  </si>
  <si>
    <t>(1 will + 5 Legend) Per bond</t>
  </si>
  <si>
    <t>1 will + 10 Legend</t>
  </si>
  <si>
    <t>1 will + 15 Legend</t>
  </si>
  <si>
    <t>5+ Legend (+1 will)</t>
  </si>
  <si>
    <t>5 Legend + 1 will dot</t>
  </si>
  <si>
    <t>(1 will + 5 Legend) per duplicate</t>
  </si>
  <si>
    <t>1 will + 5 Legend</t>
  </si>
  <si>
    <t>15 Legend, 5 Legend per dot of epic Strength (max 50)</t>
  </si>
  <si>
    <t>(1 will + 5 legend) per person</t>
  </si>
  <si>
    <t>varies</t>
  </si>
  <si>
    <t>2 Legend per bandage</t>
  </si>
  <si>
    <t>15 Legend + 1 will</t>
  </si>
  <si>
    <t>1 will to use</t>
  </si>
  <si>
    <t>1 Lethal + 8 Legend</t>
  </si>
  <si>
    <t>1 Lethal + 9 Legend</t>
  </si>
  <si>
    <t>1 Lethal + 10 Legend</t>
  </si>
  <si>
    <t>5 Legend per scene</t>
  </si>
  <si>
    <t>1 Will + 15 Legend</t>
  </si>
  <si>
    <t>10 Legend (+1 will Dot -- optional)</t>
  </si>
  <si>
    <t>(1 Legend per dot of birthright) + (1 Legend per object/being)</t>
  </si>
  <si>
    <t>Wits + Craft</t>
  </si>
  <si>
    <t>Wits + Medicine</t>
  </si>
  <si>
    <t>Intelligence + Science</t>
  </si>
  <si>
    <t>Charisma + Survival</t>
  </si>
  <si>
    <t>Dexterity + Medicine</t>
  </si>
  <si>
    <t>Strength + Fortitude</t>
  </si>
  <si>
    <t>Strength + Survival</t>
  </si>
  <si>
    <t>Manipulation + Command</t>
  </si>
  <si>
    <t>Intelligence + Presence</t>
  </si>
  <si>
    <t>Charisma + Legend</t>
  </si>
  <si>
    <t>1+ Legend</t>
  </si>
  <si>
    <t>1 Will + 1 or more Legend per person</t>
  </si>
  <si>
    <t>1+ Legend per person</t>
  </si>
  <si>
    <t>Charisma + Integrity</t>
  </si>
  <si>
    <t>Integrity + Legend</t>
  </si>
  <si>
    <t>Perception + Science</t>
  </si>
  <si>
    <t>3+ Legend</t>
  </si>
  <si>
    <t>Perception + Legend</t>
  </si>
  <si>
    <t>Willpower + Legend</t>
  </si>
  <si>
    <t>1 or 2 Will + 3 or 5 Legend</t>
  </si>
  <si>
    <t>2 Will + 5 Legend per subject</t>
  </si>
  <si>
    <t>5 Legend + 1 Will</t>
  </si>
  <si>
    <t>Stamina + Empathy</t>
  </si>
  <si>
    <t>20 Legend + 1 Will</t>
  </si>
  <si>
    <t>Dexterity + Control</t>
  </si>
  <si>
    <t>1 Will + 10 Legend</t>
  </si>
  <si>
    <t>Wits + Stealth</t>
  </si>
  <si>
    <t>Intelligence + Art</t>
  </si>
  <si>
    <t>Wits + Awareness</t>
  </si>
  <si>
    <t>1 Will + 20 Legend</t>
  </si>
  <si>
    <t>Strength + Occult</t>
  </si>
  <si>
    <t>Charisma + Politics</t>
  </si>
  <si>
    <t>Charisma + Medicine</t>
  </si>
  <si>
    <t>10 Legend + 1 Will</t>
  </si>
  <si>
    <t>Strength + Science</t>
  </si>
  <si>
    <t>Dexterity + Science</t>
  </si>
  <si>
    <t>1 Will + 1 Legend per person</t>
  </si>
  <si>
    <t>2+ Legend</t>
  </si>
  <si>
    <t>Manipulation + Stealth</t>
  </si>
  <si>
    <t>3 legend</t>
  </si>
  <si>
    <t>20 Legend</t>
  </si>
  <si>
    <t>Will + Command + Legend</t>
  </si>
  <si>
    <t>4 Legend</t>
  </si>
  <si>
    <t>4 Legend + 1 Will</t>
  </si>
  <si>
    <t>2 Legend Dots</t>
  </si>
  <si>
    <t>30 Legend</t>
  </si>
  <si>
    <t>1 Legend per 2 units</t>
  </si>
  <si>
    <t>Intelligence + Command</t>
  </si>
  <si>
    <t>Stamina + Suirvival</t>
  </si>
  <si>
    <t>Perception + Craft</t>
  </si>
  <si>
    <t>Intelligence + Politics</t>
  </si>
  <si>
    <t>Intelligence + Integrity</t>
  </si>
  <si>
    <t>Perception + Medicine</t>
  </si>
  <si>
    <t>25 Legend + 1 Will</t>
  </si>
  <si>
    <t>Perception + Marksmanship</t>
  </si>
  <si>
    <t>Stamina + Integrity</t>
  </si>
  <si>
    <t>Manipulation + Larceny</t>
  </si>
  <si>
    <t>Manipulation + Art</t>
  </si>
  <si>
    <t>Wits + Art</t>
  </si>
  <si>
    <t>Manipulation + Survival</t>
  </si>
  <si>
    <t>1 Will + 4 Legend</t>
  </si>
  <si>
    <t>1 Will + 5 Legend per participant</t>
  </si>
  <si>
    <t>Manipulation + Craft</t>
  </si>
  <si>
    <t>1 Legend + 1 Lethal</t>
  </si>
  <si>
    <t>Wits + Arts</t>
  </si>
  <si>
    <t>Manipulation + Animal Ken</t>
  </si>
  <si>
    <t>Perception + Survival</t>
  </si>
  <si>
    <t>Tsukumo</t>
  </si>
  <si>
    <t>Boon Attributes</t>
  </si>
  <si>
    <t>Boon Abilities</t>
  </si>
  <si>
    <t>Special 1</t>
  </si>
  <si>
    <t>Special 2</t>
  </si>
  <si>
    <t>Special 3</t>
  </si>
  <si>
    <t>Special 4</t>
  </si>
  <si>
    <t>Special 5</t>
  </si>
  <si>
    <t>Special 6</t>
  </si>
  <si>
    <t>Special 7</t>
  </si>
  <si>
    <t>Special 8</t>
  </si>
  <si>
    <t>Special 9</t>
  </si>
  <si>
    <t>Special 10</t>
  </si>
  <si>
    <t>Highest</t>
  </si>
  <si>
    <t>highest</t>
  </si>
  <si>
    <t>(1 Will + 1 lethal) per act; 1 legend per set of units</t>
  </si>
  <si>
    <t>(1 Will + 3 Legend) per Attribute; (1 Will + 5 Legend) per Epic</t>
  </si>
  <si>
    <t>(Dexterity/Strength) + Brawl</t>
  </si>
  <si>
    <t>Boon 35</t>
  </si>
  <si>
    <t>Simbi Makaya’s Staff</t>
  </si>
  <si>
    <t>-- UNARMED --</t>
  </si>
  <si>
    <t>-- RANGED --</t>
  </si>
  <si>
    <t>-- FIREARMS --</t>
  </si>
  <si>
    <t>-- THROWN --</t>
  </si>
  <si>
    <t>-- MELEE --</t>
  </si>
  <si>
    <t>-- NON-LETHAL --</t>
  </si>
  <si>
    <t>-- HEAVY MUNITIONS --</t>
  </si>
  <si>
    <t>-- RELICS --</t>
  </si>
  <si>
    <t>-- CUSTOM --</t>
  </si>
  <si>
    <t>In all columns labeled "Bonus" put the amount being added, not the new total.</t>
  </si>
  <si>
    <t>Welcome</t>
  </si>
  <si>
    <t>Character Sheet</t>
  </si>
  <si>
    <t>Blue means that the cell is relevant and can be added to.</t>
  </si>
  <si>
    <t xml:space="preserve">When you finish a step, all the relevant cells will return to white. </t>
  </si>
  <si>
    <t>When you finish the character creation process, the entire page will turn grey.</t>
  </si>
  <si>
    <t>Green means that you’ve entered the maximum value allowed for that cell or that the cell no longer needs changed for the step to be complete.</t>
  </si>
  <si>
    <t>Demigod Conversion / God Conversion</t>
  </si>
  <si>
    <t>For Birthrights being improved, only input the number of dots being added, not the total dots.</t>
  </si>
  <si>
    <t>Dot Tracking</t>
  </si>
  <si>
    <t>Your character sheet auto-fills most values from the Creation, Conversion and Dot Tracking sheets. The exceptions are as follows:</t>
  </si>
  <si>
    <t>Experience Earned (keep a total, do not remove experience when you spend it)</t>
  </si>
  <si>
    <t>Resources used (Legend and Willpower Spent and Damage taken)</t>
  </si>
  <si>
    <t>Arete (Enter the number of bonus dice you gain, not the rank of Arete you have)</t>
  </si>
  <si>
    <t>Passive Adjusters (knacks that increase or change physical values numerically)</t>
  </si>
  <si>
    <t>Boons – You only have 25 rows for boons and they fill up as you get higher Legend. I would advise only keeping ones with dice rolls on the main character sheet.</t>
  </si>
  <si>
    <t>Description/notes page.</t>
  </si>
  <si>
    <t>-- NORMAL --</t>
  </si>
  <si>
    <t>-- ENVIRONMENTAL --</t>
  </si>
  <si>
    <t>-- RELIC --</t>
  </si>
  <si>
    <t>Specialized Abilities (The dot values will transfer over but the type won't)</t>
  </si>
  <si>
    <t>up to 3 Legend</t>
  </si>
  <si>
    <t>1 Legend per victim</t>
  </si>
  <si>
    <t>1 willpower</t>
  </si>
  <si>
    <t>Passive</t>
  </si>
  <si>
    <t>1 legend per thought</t>
  </si>
  <si>
    <t>Stat</t>
  </si>
  <si>
    <t>Extra Knacks</t>
  </si>
  <si>
    <t>Resources</t>
  </si>
  <si>
    <t>Natural Soak</t>
  </si>
  <si>
    <t>Defenses</t>
  </si>
  <si>
    <t>Knack-enhanced XP Spending</t>
  </si>
  <si>
    <t>Gained with Benefit of Fast Learner AND Teaching Prodigy</t>
  </si>
  <si>
    <t>Gained with Benefit of Star Pupil AND Teaching Prodigy</t>
  </si>
  <si>
    <t>Main</t>
  </si>
  <si>
    <t>Gained with benefit of Teaching Prodigy</t>
  </si>
  <si>
    <t>Gained with benefit of Fast Learner</t>
  </si>
  <si>
    <t>Gained with benefit of Star Pupil</t>
  </si>
  <si>
    <t>Boon Description</t>
  </si>
  <si>
    <t>Knack Description</t>
  </si>
  <si>
    <t>Panth. Purview</t>
  </si>
  <si>
    <t>spd</t>
  </si>
  <si>
    <t>def</t>
  </si>
  <si>
    <t>This character sheet is to help in the character building and advancement process for White Wolf's Scion. It started out as a way to let new players with little or no experience build a character on their own, without needing to double-check everything they do with the Storyteller, but in use, I've found it also makes things quicker for experienced players as well. 
It has most, if not all material from Hero, Demigod, God, Companion, Yazata and Ragnarok. Most values will auto-calculate and auto-fill on the main character sheet. This worksheet is an explanation of how each page works.</t>
  </si>
  <si>
    <t>The Creation worksheet is where everything begins. 
All values that get entered here will be automatically pulled to the Character Sheet as you enter them. At the top of Page 1 is your step-by-step instructions. The “Current Step” box will tell you what you’re doing next and the large box below it will give details about what to do in that step. 
Two things that are not in the step-by-step are your character’s name and player name. Enter these whenever you want. 
As you go through the creation process, the cells relevant to the current step will be colored.</t>
  </si>
  <si>
    <t>Yellow means that the cell is a drop-down menu that either starts a chain or requires you to take further action after making a selection.</t>
  </si>
  <si>
    <t xml:space="preserve">If you enter a value in a cell that is more than you’re allowed to, the cell will turn red. 
Likewise, if you go over the maximum total value for the step (such as assigning more than 30 abilities), all cells relevant to the step will turn red. </t>
  </si>
  <si>
    <t>In all columns labeled “Bonus” you need to enter the number of dots being added, not the total number after adding bonuses.</t>
  </si>
  <si>
    <t>The Demigod and God conversion worksheets work basically the same way that the Creation sheet works, just shorter. You do your Demigod Conversion when your character’s Legend Rating reaches 5 and you do your God Conversion when your character’s Legend Rating reaches 9. All dot values you had before your conversions will be automatically filled in to the “Old” columns. 
Just like on the Creation page, in any column labeled “New” or “Bonus”, you need to enter the amount being added, not the new total.
You’ll notice that on the Demigod and God pages, the character name, calling and Nature do not auto-fill like the rest of the values do. This is because as your character’s Legend grows she/he may change their name to something more heroic/villainous, gain a nickname. Likewise, their experiences may cause drastic changes to their personalities - effecting their nature - or show them that their past life simply can't be lived anymore - changing their calling. If you enter a new name, calling or nature on either of these pages they will take precedent over the values from previous stages. If you leave them blank on these pages, the values from previous stages will remain in effect.</t>
  </si>
  <si>
    <t xml:space="preserve">The Dot Tracking worksheet is where you’ll enter any advancements you obtain through the spending of experience or the beneficence of your Storyteller. All dots are tracked on this worksheet on various tables, though the bulk of the worksheet is hidden since it's all automated. When you want to buy a dot through experience or the Storyteller gives you a free dot in something, enter a 1 in the appropriate cell for the dot you’re getting. When you gain a dot through any means other than experience, the cell for that dot will go black on the experience table. The Freebies table works the same way. If you put it in the wrong cell, your dice-pools may calculate wrong and your experience definitely will. </t>
  </si>
  <si>
    <t>Advantages (green pages)</t>
  </si>
  <si>
    <t>Armor/Attacks/Equipment – Weapon and Armor types need to be entered manually. Stats will fill automatically. Other equipment types will need to be filled in manually.</t>
  </si>
  <si>
    <t>Custom Equipment - When filling in custom equipment, remember to enter item stats, not dice pools. I.E. for a custom weapon, put the weapon's ACC bonus or penalty, not your ACC dice pool for the weapon.</t>
  </si>
  <si>
    <t>Note: Relic weapons and armors listed in the books are already accounted for in the armory listings and do not need additional adjustments. Any custom relic armor you get will need to be listed in the Custom Equipment to show up properly on Page 1. 
If a custom Relic weapon has Speed, Accuracy or Damage bonuses, select the normal weapon on the Attacks page with the Relic bonuses listed to the side and it will automatically adjust the values in the appropriate columns.  If a custom Relic weapon has any other type of mechanical bonus, you will need to list it on the Custom Equipment page as well.</t>
  </si>
  <si>
    <t>The advantage pages are pretty straightforward. Boons and knacks will auto-fill everything but their description once you select them. Followers, Creatures and Guides you’ll need to fill in all their information manually.</t>
  </si>
  <si>
    <t xml:space="preserve">This sheet began as a pet project for personal use. I hope you enjoy it. 
I have a day job and a 9 year old, so updates may be slow going, but they're already underway. Planned changes can be found on the "To Do" worksheet. If you have any other suggestions for improvements, find something calculating wrong or have any general comments, you can contact me at johnabbott22@gmail.com
Play on, my friends.
~John
</t>
  </si>
  <si>
    <t>©John Abbott 9/1/2013</t>
  </si>
  <si>
    <t>Things To Do:</t>
  </si>
  <si>
    <t/>
  </si>
  <si>
    <t>-- Add boon and knack descriptions to reference tables so they auto-fill with the rest of the info when selected on the advantages sheet. If I get feedback that people would rather enter their own descriptions, this will be shelved indefinitely.</t>
  </si>
  <si>
    <t xml:space="preserve">-- Add House Rules page - adjust formulas to accomodate house rules. </t>
  </si>
  <si>
    <t>Underway:</t>
  </si>
  <si>
    <t>Planned:</t>
  </si>
  <si>
    <t>-- Add custom pantheons table to Sandbox - I'm still working out the details on how to make this feasible. Long-term plan, but definitely on the table.</t>
  </si>
  <si>
    <t xml:space="preserve">
</t>
  </si>
  <si>
    <t>-- Add Sandbox. 
I'll be moving the Custom Armor and Weapons tables here and eventually adding tables for custom Purviews, boons, knacks, creatures and followers.</t>
  </si>
  <si>
    <t>Tested</t>
  </si>
  <si>
    <t>Progress</t>
  </si>
  <si>
    <t>Nearly done. Formulas need tweeking.</t>
  </si>
  <si>
    <t>-- Have boon stat table on Character Sheet auto-pull boons from the Purchased Boons page, filtering out ones that don't have dice pools.</t>
  </si>
  <si>
    <t>-- Add "Purchased Knacks" and "Purchased Boons" worksheets.
Keeping boons and knacks organized manually can get ugly when you get into higher Legend Ratings, so I'll be making a single sheet for Boons and a single sheet for Knacks that shows what all is available to be purchased. You'll have a yes/no dropdown for each item. When you mark Knacks as purchased, the Knacks and Boons page will automatically fill them in, organized by Attribute and then alphabetical. When you mark Boons as purchased, the Knacks and Boons page will fill them in organized by Purview (Pantheon first, All Purpose alphabetically, Specials last) and then by Rank.
The character sheet will also auto-fill Arete bonus dice from this page.
Will be changing Character Sheet formulas so that if a feat permanently changes a stat, the formula will pull from this page instead of the "Adjusters" section. Will remove Adjusters section.</t>
  </si>
  <si>
    <t>Sandbox page added, custom armor and tables moved here. Custom Creatures and Followers table created and auto-fill formulas updated to match.
Still need tables for custom boons, knacks and purviews.</t>
  </si>
  <si>
    <t>For questions, comments or requests:
johnabbott22@gmail.com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</si>
</sst>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20"/>
      <color theme="1"/>
      <name val="Calibri"/>
      <family val="2"/>
      <scheme val="minor"/>
    </font>
    <font>
      <b/>
      <sz val="12"/>
      <color theme="1"/>
      <name val="Calibri"/>
      <family val="2"/>
      <scheme val="minor"/>
    </font>
    <font>
      <sz val="9"/>
      <color indexed="81"/>
      <name val="Tahoma"/>
      <family val="2"/>
    </font>
    <font>
      <b/>
      <sz val="9"/>
      <color indexed="81"/>
      <name val="Tahoma"/>
      <family val="2"/>
    </font>
    <font>
      <sz val="12"/>
      <color theme="1"/>
      <name val="Calibri"/>
      <family val="2"/>
      <scheme val="minor"/>
    </font>
    <font>
      <b/>
      <sz val="14"/>
      <color theme="1"/>
      <name val="Calibri"/>
      <family val="2"/>
      <scheme val="minor"/>
    </font>
    <font>
      <sz val="18"/>
      <color theme="1"/>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sz val="11"/>
      <color theme="1"/>
      <name val="Calibri"/>
      <family val="2"/>
      <scheme val="minor"/>
    </font>
    <font>
      <b/>
      <sz val="18"/>
      <color theme="1"/>
      <name val="Calibri"/>
      <family val="2"/>
      <scheme val="minor"/>
    </font>
    <font>
      <b/>
      <u/>
      <sz val="14"/>
      <color theme="1"/>
      <name val="Calibri"/>
      <family val="2"/>
      <scheme val="minor"/>
    </font>
  </fonts>
  <fills count="14">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rgb="FFFFFFCC"/>
      </patternFill>
    </fill>
    <fill>
      <patternFill patternType="solid">
        <fgColor theme="0" tint="-0.14999847407452621"/>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medium">
        <color indexed="64"/>
      </left>
      <right style="medium">
        <color indexed="64"/>
      </right>
      <top style="medium">
        <color indexed="64"/>
      </top>
      <bottom style="thin">
        <color rgb="FFB2B2B2"/>
      </bottom>
      <diagonal/>
    </border>
    <border>
      <left style="medium">
        <color indexed="64"/>
      </left>
      <right style="medium">
        <color indexed="64"/>
      </right>
      <top style="thin">
        <color rgb="FFB2B2B2"/>
      </top>
      <bottom style="thin">
        <color rgb="FFB2B2B2"/>
      </bottom>
      <diagonal/>
    </border>
    <border>
      <left style="medium">
        <color indexed="64"/>
      </left>
      <right style="medium">
        <color indexed="64"/>
      </right>
      <top style="thin">
        <color rgb="FFB2B2B2"/>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s>
  <cellStyleXfs count="5">
    <xf numFmtId="0" fontId="0" fillId="0" borderId="0"/>
    <xf numFmtId="0" fontId="9" fillId="2" borderId="0" applyNumberFormat="0" applyBorder="0" applyAlignment="0" applyProtection="0"/>
    <xf numFmtId="0" fontId="10" fillId="3" borderId="0" applyNumberFormat="0" applyBorder="0" applyAlignment="0" applyProtection="0"/>
    <xf numFmtId="0" fontId="11" fillId="4" borderId="64" applyNumberFormat="0" applyAlignment="0" applyProtection="0"/>
    <xf numFmtId="0" fontId="12" fillId="11" borderId="70" applyNumberFormat="0" applyFont="0" applyAlignment="0" applyProtection="0"/>
  </cellStyleXfs>
  <cellXfs count="746">
    <xf numFmtId="0" fontId="0" fillId="0" borderId="0" xfId="0"/>
    <xf numFmtId="0" fontId="1"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Font="1" applyAlignment="1" applyProtection="1">
      <alignment horizontal="center" vertical="center"/>
      <protection hidden="1"/>
    </xf>
    <xf numFmtId="16" fontId="0" fillId="0" borderId="0" xfId="0" applyNumberFormat="1" applyAlignment="1" applyProtection="1">
      <alignment horizontal="center" vertical="center"/>
      <protection hidden="1"/>
    </xf>
    <xf numFmtId="0" fontId="1" fillId="0" borderId="42" xfId="0" applyFont="1" applyBorder="1" applyAlignment="1" applyProtection="1">
      <alignment horizontal="center" vertical="center"/>
      <protection hidden="1"/>
    </xf>
    <xf numFmtId="0" fontId="0" fillId="0" borderId="4" xfId="0" applyFill="1" applyBorder="1" applyAlignment="1" applyProtection="1">
      <alignment horizontal="center" vertical="center"/>
      <protection hidden="1"/>
    </xf>
    <xf numFmtId="0" fontId="0" fillId="0" borderId="5" xfId="0" applyFill="1" applyBorder="1" applyAlignment="1" applyProtection="1">
      <alignment horizontal="center" vertical="center"/>
      <protection hidden="1"/>
    </xf>
    <xf numFmtId="0" fontId="1" fillId="0" borderId="1" xfId="0" applyFont="1" applyBorder="1" applyAlignment="1" applyProtection="1">
      <alignment horizontal="center" vertical="center" wrapText="1"/>
      <protection hidden="1"/>
    </xf>
    <xf numFmtId="0" fontId="6" fillId="0" borderId="53" xfId="0" applyFont="1" applyBorder="1" applyAlignment="1" applyProtection="1">
      <alignment horizontal="center" vertical="center"/>
      <protection hidden="1"/>
    </xf>
    <xf numFmtId="0" fontId="6" fillId="0" borderId="53" xfId="0" applyFont="1" applyFill="1" applyBorder="1" applyAlignment="1" applyProtection="1">
      <alignment horizontal="center" vertical="center"/>
      <protection hidden="1"/>
    </xf>
    <xf numFmtId="0" fontId="6" fillId="0" borderId="54" xfId="0" applyFont="1" applyFill="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54" xfId="0" applyFont="1" applyBorder="1" applyAlignment="1" applyProtection="1">
      <alignment horizontal="center" vertical="center"/>
      <protection hidden="1"/>
    </xf>
    <xf numFmtId="0" fontId="6" fillId="0" borderId="42" xfId="0" applyFont="1" applyFill="1" applyBorder="1" applyAlignment="1" applyProtection="1">
      <alignment horizontal="center" vertical="center"/>
      <protection hidden="1"/>
    </xf>
    <xf numFmtId="0" fontId="0" fillId="0" borderId="53" xfId="0" applyBorder="1" applyAlignment="1" applyProtection="1">
      <alignment horizontal="center" vertical="center"/>
      <protection hidden="1"/>
    </xf>
    <xf numFmtId="0" fontId="0" fillId="0" borderId="54" xfId="0" applyBorder="1" applyAlignment="1" applyProtection="1">
      <alignment horizontal="center" vertical="center"/>
      <protection hidden="1"/>
    </xf>
    <xf numFmtId="0" fontId="0" fillId="0" borderId="2" xfId="0" applyBorder="1" applyAlignment="1" applyProtection="1">
      <alignment vertical="center"/>
      <protection hidden="1"/>
    </xf>
    <xf numFmtId="0" fontId="0" fillId="0" borderId="4" xfId="0" applyBorder="1" applyAlignment="1" applyProtection="1">
      <alignment vertical="center"/>
      <protection hidden="1"/>
    </xf>
    <xf numFmtId="0" fontId="0" fillId="0" borderId="5" xfId="0" applyBorder="1" applyAlignment="1" applyProtection="1">
      <alignment vertical="center"/>
      <protection hidden="1"/>
    </xf>
    <xf numFmtId="0" fontId="0" fillId="0" borderId="7" xfId="0" applyBorder="1" applyAlignment="1" applyProtection="1">
      <alignment vertical="center"/>
      <protection hidden="1"/>
    </xf>
    <xf numFmtId="0" fontId="0" fillId="0" borderId="1" xfId="0" applyBorder="1" applyProtection="1">
      <protection hidden="1"/>
    </xf>
    <xf numFmtId="0" fontId="0" fillId="0" borderId="17" xfId="0" applyBorder="1" applyProtection="1">
      <protection hidden="1"/>
    </xf>
    <xf numFmtId="0" fontId="0" fillId="0" borderId="1" xfId="0" applyBorder="1" applyProtection="1">
      <protection locked="0" hidden="1"/>
    </xf>
    <xf numFmtId="0" fontId="0" fillId="0" borderId="1" xfId="0" applyBorder="1" applyAlignment="1" applyProtection="1">
      <protection hidden="1"/>
    </xf>
    <xf numFmtId="0" fontId="0" fillId="0" borderId="17" xfId="0" applyBorder="1" applyAlignment="1" applyProtection="1">
      <protection hidden="1"/>
    </xf>
    <xf numFmtId="0" fontId="0" fillId="0" borderId="7" xfId="0" applyBorder="1" applyAlignment="1" applyProtection="1">
      <protection hidden="1"/>
    </xf>
    <xf numFmtId="0" fontId="0" fillId="0" borderId="0" xfId="0" applyProtection="1">
      <protection hidden="1"/>
    </xf>
    <xf numFmtId="0" fontId="0" fillId="0" borderId="1" xfId="0" quotePrefix="1" applyBorder="1" applyAlignment="1" applyProtection="1">
      <alignment horizontal="center"/>
      <protection hidden="1"/>
    </xf>
    <xf numFmtId="0" fontId="0" fillId="0" borderId="28" xfId="0" applyBorder="1" applyAlignment="1" applyProtection="1">
      <alignment horizontal="center"/>
      <protection hidden="1"/>
    </xf>
    <xf numFmtId="0" fontId="0" fillId="0" borderId="42" xfId="0" applyBorder="1" applyAlignment="1" applyProtection="1">
      <alignment horizontal="center"/>
      <protection hidden="1"/>
    </xf>
    <xf numFmtId="0" fontId="0" fillId="0" borderId="55" xfId="0" applyBorder="1" applyAlignment="1" applyProtection="1">
      <alignment horizontal="center"/>
      <protection hidden="1"/>
    </xf>
    <xf numFmtId="0" fontId="0" fillId="0" borderId="47" xfId="0" applyBorder="1" applyAlignment="1" applyProtection="1">
      <alignment horizontal="center"/>
      <protection hidden="1"/>
    </xf>
    <xf numFmtId="0" fontId="1" fillId="0" borderId="26" xfId="0" applyFont="1" applyBorder="1" applyAlignment="1" applyProtection="1">
      <alignment horizontal="center"/>
      <protection hidden="1"/>
    </xf>
    <xf numFmtId="0" fontId="0" fillId="0" borderId="17" xfId="0" quotePrefix="1" applyBorder="1" applyAlignment="1" applyProtection="1">
      <alignment horizontal="center"/>
      <protection hidden="1"/>
    </xf>
    <xf numFmtId="0" fontId="0" fillId="0" borderId="53" xfId="0" applyFill="1" applyBorder="1" applyAlignment="1" applyProtection="1">
      <alignment horizontal="center"/>
      <protection hidden="1"/>
    </xf>
    <xf numFmtId="0" fontId="0" fillId="0" borderId="54" xfId="0" applyFill="1" applyBorder="1" applyAlignment="1" applyProtection="1">
      <alignment horizontal="center"/>
      <protection hidden="1"/>
    </xf>
    <xf numFmtId="0" fontId="0" fillId="0" borderId="0" xfId="0" applyAlignment="1" applyProtection="1">
      <protection hidden="1"/>
    </xf>
    <xf numFmtId="0" fontId="0" fillId="0" borderId="1"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0" fillId="0" borderId="49"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42" xfId="0" applyBorder="1" applyAlignment="1" applyProtection="1">
      <alignment horizontal="center" vertical="center"/>
      <protection hidden="1"/>
    </xf>
    <xf numFmtId="0" fontId="0" fillId="0" borderId="52" xfId="0" applyFill="1" applyBorder="1" applyAlignment="1" applyProtection="1">
      <alignment horizontal="center" vertical="center"/>
      <protection hidden="1"/>
    </xf>
    <xf numFmtId="0" fontId="0" fillId="0" borderId="38" xfId="0" applyBorder="1" applyAlignment="1" applyProtection="1">
      <alignment horizontal="center" vertical="center"/>
      <protection hidden="1"/>
    </xf>
    <xf numFmtId="0" fontId="1" fillId="0" borderId="0" xfId="0" applyFont="1" applyAlignment="1" applyProtection="1">
      <alignment horizontal="center"/>
      <protection hidden="1"/>
    </xf>
    <xf numFmtId="0" fontId="0" fillId="0" borderId="0" xfId="0" applyAlignment="1" applyProtection="1">
      <alignment horizontal="left" vertical="center"/>
      <protection hidden="1"/>
    </xf>
    <xf numFmtId="0" fontId="0" fillId="0" borderId="0" xfId="0" applyAlignment="1" applyProtection="1">
      <alignment horizontal="left"/>
      <protection hidden="1"/>
    </xf>
    <xf numFmtId="0" fontId="0" fillId="0" borderId="38" xfId="0" applyFill="1" applyBorder="1" applyAlignment="1" applyProtection="1">
      <alignment horizontal="center" vertical="center"/>
      <protection hidden="1"/>
    </xf>
    <xf numFmtId="0" fontId="1" fillId="0" borderId="5" xfId="0" applyFont="1" applyBorder="1" applyAlignment="1" applyProtection="1">
      <alignment vertical="center"/>
      <protection hidden="1"/>
    </xf>
    <xf numFmtId="0" fontId="1" fillId="0" borderId="4" xfId="0" applyFont="1" applyBorder="1" applyAlignment="1" applyProtection="1">
      <protection hidden="1"/>
    </xf>
    <xf numFmtId="0" fontId="0" fillId="0" borderId="1" xfId="0" applyFont="1" applyBorder="1" applyProtection="1">
      <protection hidden="1"/>
    </xf>
    <xf numFmtId="0" fontId="0" fillId="0" borderId="27"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20" xfId="0"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0" fillId="0" borderId="48" xfId="0" applyFill="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16" fontId="0" fillId="0" borderId="0" xfId="0" applyNumberFormat="1" applyBorder="1" applyAlignment="1" applyProtection="1">
      <alignment horizontal="center" vertical="center"/>
      <protection hidden="1"/>
    </xf>
    <xf numFmtId="0" fontId="0" fillId="0" borderId="56"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0" fillId="0" borderId="0" xfId="0" applyFill="1" applyProtection="1">
      <protection hidden="1"/>
    </xf>
    <xf numFmtId="0" fontId="0" fillId="0" borderId="16" xfId="0" applyFill="1" applyBorder="1" applyAlignment="1" applyProtection="1">
      <alignment horizontal="center" vertical="center"/>
      <protection hidden="1"/>
    </xf>
    <xf numFmtId="0" fontId="0" fillId="0" borderId="0" xfId="0" applyFill="1" applyAlignment="1" applyProtection="1">
      <protection hidden="1"/>
    </xf>
    <xf numFmtId="0" fontId="0" fillId="0" borderId="6" xfId="0" applyFont="1" applyFill="1" applyBorder="1" applyAlignment="1" applyProtection="1">
      <alignment horizontal="center" vertical="center"/>
      <protection hidden="1"/>
    </xf>
    <xf numFmtId="0" fontId="0" fillId="0" borderId="2" xfId="0" applyFont="1" applyFill="1" applyBorder="1" applyAlignment="1" applyProtection="1">
      <alignment horizontal="center" vertical="center"/>
      <protection hidden="1"/>
    </xf>
    <xf numFmtId="0" fontId="0" fillId="0" borderId="2" xfId="0" applyFill="1" applyBorder="1" applyAlignment="1" applyProtection="1">
      <alignment horizontal="center" vertical="center"/>
      <protection hidden="1"/>
    </xf>
    <xf numFmtId="0" fontId="0" fillId="0" borderId="0" xfId="0" applyFill="1" applyAlignment="1" applyProtection="1">
      <alignment horizontal="center" vertical="center"/>
      <protection hidden="1"/>
    </xf>
    <xf numFmtId="0" fontId="0" fillId="0" borderId="0" xfId="0" applyFill="1" applyAlignment="1" applyProtection="1">
      <alignment horizontal="center" vertical="center" wrapText="1"/>
      <protection hidden="1"/>
    </xf>
    <xf numFmtId="0" fontId="0" fillId="0" borderId="33" xfId="0" applyBorder="1" applyAlignment="1" applyProtection="1">
      <alignment horizontal="center" vertical="center"/>
      <protection hidden="1"/>
    </xf>
    <xf numFmtId="0" fontId="1" fillId="0" borderId="63" xfId="0" applyFont="1" applyBorder="1" applyAlignment="1" applyProtection="1">
      <alignment horizontal="center" vertical="center"/>
      <protection hidden="1"/>
    </xf>
    <xf numFmtId="0" fontId="6" fillId="0" borderId="56" xfId="0" applyFont="1" applyBorder="1" applyAlignment="1" applyProtection="1">
      <alignment horizontal="center" vertical="center"/>
      <protection hidden="1"/>
    </xf>
    <xf numFmtId="0" fontId="0" fillId="0" borderId="6" xfId="0" applyFill="1"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1" fillId="0" borderId="33" xfId="0" applyFont="1" applyBorder="1" applyAlignment="1" applyProtection="1">
      <alignment horizontal="center" vertical="center"/>
      <protection hidden="1"/>
    </xf>
    <xf numFmtId="0" fontId="0" fillId="0" borderId="3" xfId="0" applyFont="1" applyFill="1" applyBorder="1" applyAlignment="1" applyProtection="1">
      <alignment horizontal="center" vertical="center"/>
      <protection hidden="1"/>
    </xf>
    <xf numFmtId="0" fontId="0" fillId="0" borderId="5"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 xfId="0" applyFont="1" applyFill="1" applyBorder="1" applyAlignment="1" applyProtection="1">
      <alignment horizontal="center" vertical="center" wrapText="1"/>
      <protection hidden="1"/>
    </xf>
    <xf numFmtId="0" fontId="0" fillId="0" borderId="16" xfId="0" applyFont="1" applyFill="1" applyBorder="1" applyAlignment="1" applyProtection="1">
      <alignment horizontal="center" vertical="center" wrapText="1"/>
      <protection hidden="1"/>
    </xf>
    <xf numFmtId="0" fontId="0" fillId="0" borderId="16" xfId="0" applyFill="1" applyBorder="1" applyAlignment="1" applyProtection="1">
      <alignment horizontal="center" vertical="center" wrapText="1"/>
      <protection hidden="1"/>
    </xf>
    <xf numFmtId="0" fontId="0" fillId="0" borderId="22" xfId="0" applyFill="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35" xfId="0" applyFont="1" applyBorder="1" applyAlignment="1" applyProtection="1">
      <alignment horizontal="center" vertical="center"/>
      <protection hidden="1"/>
    </xf>
    <xf numFmtId="0" fontId="1" fillId="0" borderId="63" xfId="0" applyFont="1" applyFill="1" applyBorder="1" applyAlignment="1" applyProtection="1">
      <alignment horizontal="center" vertical="center"/>
      <protection hidden="1"/>
    </xf>
    <xf numFmtId="0" fontId="6" fillId="0" borderId="33" xfId="0" applyFont="1" applyBorder="1" applyAlignment="1" applyProtection="1">
      <alignment horizontal="center" vertical="center"/>
      <protection hidden="1"/>
    </xf>
    <xf numFmtId="0" fontId="6" fillId="0" borderId="65" xfId="0" applyFont="1" applyBorder="1" applyAlignment="1" applyProtection="1">
      <alignment horizontal="center" vertical="center"/>
      <protection hidden="1"/>
    </xf>
    <xf numFmtId="0" fontId="1" fillId="0" borderId="66" xfId="0" applyFont="1" applyBorder="1" applyAlignment="1" applyProtection="1">
      <alignment horizontal="center" vertical="center"/>
      <protection hidden="1"/>
    </xf>
    <xf numFmtId="0" fontId="6" fillId="0" borderId="41" xfId="0" applyFont="1" applyBorder="1" applyAlignment="1" applyProtection="1">
      <alignment horizontal="center" vertical="center"/>
      <protection hidden="1"/>
    </xf>
    <xf numFmtId="0" fontId="3" fillId="0" borderId="41" xfId="0" applyFont="1" applyBorder="1" applyAlignment="1" applyProtection="1">
      <alignment horizontal="center" vertical="center"/>
      <protection hidden="1"/>
    </xf>
    <xf numFmtId="0" fontId="3" fillId="0" borderId="41" xfId="0" applyFont="1" applyFill="1" applyBorder="1" applyAlignment="1" applyProtection="1">
      <alignment horizontal="center" vertical="center"/>
      <protection hidden="1"/>
    </xf>
    <xf numFmtId="0" fontId="6" fillId="0" borderId="41" xfId="0" applyFont="1" applyFill="1" applyBorder="1" applyAlignment="1" applyProtection="1">
      <alignment horizontal="center" vertical="center"/>
      <protection hidden="1"/>
    </xf>
    <xf numFmtId="0" fontId="6" fillId="0" borderId="43" xfId="0" applyFont="1" applyFill="1" applyBorder="1" applyAlignment="1" applyProtection="1">
      <alignment horizontal="center" vertical="center"/>
      <protection hidden="1"/>
    </xf>
    <xf numFmtId="0" fontId="3" fillId="0" borderId="66" xfId="0" applyFont="1" applyFill="1"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6" xfId="0" applyFill="1" applyBorder="1" applyAlignment="1" applyProtection="1">
      <alignment horizontal="center" vertical="center" wrapText="1"/>
      <protection hidden="1"/>
    </xf>
    <xf numFmtId="0" fontId="0" fillId="0" borderId="23" xfId="0" applyFill="1" applyBorder="1" applyAlignment="1" applyProtection="1">
      <alignment horizontal="center" vertical="center"/>
      <protection hidden="1"/>
    </xf>
    <xf numFmtId="0" fontId="9" fillId="2" borderId="16" xfId="1" applyBorder="1" applyAlignment="1" applyProtection="1">
      <alignment horizontal="center" vertical="center"/>
      <protection hidden="1"/>
    </xf>
    <xf numFmtId="0" fontId="9" fillId="2" borderId="1" xfId="1" applyBorder="1" applyAlignment="1" applyProtection="1">
      <alignment horizontal="center" vertical="center"/>
      <protection hidden="1"/>
    </xf>
    <xf numFmtId="0" fontId="9" fillId="2" borderId="17" xfId="1" applyBorder="1" applyAlignment="1" applyProtection="1">
      <alignment horizontal="center" vertical="center"/>
      <protection hidden="1"/>
    </xf>
    <xf numFmtId="0" fontId="9" fillId="2" borderId="6" xfId="1" applyBorder="1" applyAlignment="1" applyProtection="1">
      <alignment horizontal="center" vertical="center"/>
      <protection hidden="1"/>
    </xf>
    <xf numFmtId="0" fontId="9" fillId="2" borderId="2" xfId="1" applyBorder="1" applyAlignment="1" applyProtection="1">
      <alignment horizontal="center" vertical="center"/>
      <protection hidden="1"/>
    </xf>
    <xf numFmtId="0" fontId="9" fillId="2" borderId="7" xfId="1" applyBorder="1" applyAlignment="1" applyProtection="1">
      <alignment horizontal="center" vertical="center"/>
      <protection hidden="1"/>
    </xf>
    <xf numFmtId="0" fontId="9" fillId="2" borderId="49" xfId="1" applyBorder="1" applyAlignment="1" applyProtection="1">
      <alignment horizontal="center" vertical="center"/>
      <protection hidden="1"/>
    </xf>
    <xf numFmtId="0" fontId="9" fillId="2" borderId="20" xfId="1" applyBorder="1" applyAlignment="1" applyProtection="1">
      <alignment horizontal="center" vertical="center"/>
      <protection hidden="1"/>
    </xf>
    <xf numFmtId="0" fontId="9" fillId="2" borderId="5" xfId="1" applyBorder="1" applyAlignment="1" applyProtection="1">
      <alignment horizontal="center" vertical="center"/>
      <protection hidden="1"/>
    </xf>
    <xf numFmtId="0" fontId="9" fillId="2" borderId="4" xfId="1" applyBorder="1" applyAlignment="1" applyProtection="1">
      <alignment horizontal="center" vertical="center"/>
      <protection hidden="1"/>
    </xf>
    <xf numFmtId="0" fontId="9" fillId="2" borderId="42" xfId="1" applyBorder="1" applyAlignment="1" applyProtection="1">
      <alignment horizontal="center" vertical="center"/>
      <protection hidden="1"/>
    </xf>
    <xf numFmtId="0" fontId="9" fillId="2" borderId="53" xfId="1" applyBorder="1" applyAlignment="1" applyProtection="1">
      <alignment horizontal="center" vertical="center"/>
      <protection hidden="1"/>
    </xf>
    <xf numFmtId="0" fontId="11" fillId="4" borderId="64" xfId="3" applyAlignment="1" applyProtection="1">
      <alignment horizontal="center" vertical="center"/>
      <protection hidden="1"/>
    </xf>
    <xf numFmtId="0" fontId="10" fillId="3" borderId="67" xfId="2" quotePrefix="1" applyBorder="1" applyAlignment="1" applyProtection="1">
      <alignment horizontal="center"/>
      <protection hidden="1"/>
    </xf>
    <xf numFmtId="0" fontId="10" fillId="3" borderId="33" xfId="2" applyBorder="1" applyAlignment="1" applyProtection="1">
      <alignment horizontal="center"/>
      <protection hidden="1"/>
    </xf>
    <xf numFmtId="0" fontId="10" fillId="3" borderId="33" xfId="2" quotePrefix="1" applyBorder="1" applyAlignment="1" applyProtection="1">
      <alignment horizontal="center"/>
      <protection hidden="1"/>
    </xf>
    <xf numFmtId="0" fontId="10" fillId="3" borderId="65" xfId="2" applyBorder="1" applyAlignment="1" applyProtection="1">
      <alignment horizontal="center"/>
      <protection hidden="1"/>
    </xf>
    <xf numFmtId="0" fontId="1" fillId="0" borderId="20" xfId="0" applyFont="1" applyBorder="1" applyAlignment="1" applyProtection="1">
      <alignment vertical="center"/>
      <protection hidden="1"/>
    </xf>
    <xf numFmtId="0" fontId="1" fillId="0" borderId="21" xfId="0" applyFont="1" applyBorder="1" applyAlignment="1" applyProtection="1">
      <alignment vertical="center"/>
      <protection hidden="1"/>
    </xf>
    <xf numFmtId="0" fontId="1" fillId="0" borderId="24" xfId="0" applyFont="1" applyFill="1" applyBorder="1" applyAlignment="1" applyProtection="1">
      <alignment horizontal="center" vertical="center"/>
      <protection hidden="1"/>
    </xf>
    <xf numFmtId="0" fontId="9" fillId="2" borderId="18" xfId="1" applyBorder="1" applyAlignment="1" applyProtection="1">
      <alignment horizontal="center" vertical="center"/>
      <protection hidden="1"/>
    </xf>
    <xf numFmtId="0" fontId="11" fillId="4" borderId="71" xfId="3" applyBorder="1" applyAlignment="1" applyProtection="1">
      <alignment horizontal="center" vertical="center"/>
      <protection hidden="1"/>
    </xf>
    <xf numFmtId="0" fontId="11" fillId="4" borderId="72" xfId="3" applyBorder="1" applyAlignment="1" applyProtection="1">
      <alignment horizontal="center" vertical="center"/>
      <protection hidden="1"/>
    </xf>
    <xf numFmtId="0" fontId="0" fillId="11" borderId="73" xfId="4" quotePrefix="1" applyFont="1" applyBorder="1" applyAlignment="1" applyProtection="1">
      <alignment horizontal="center" vertical="center"/>
      <protection hidden="1"/>
    </xf>
    <xf numFmtId="0" fontId="0" fillId="11" borderId="74" xfId="4" applyFont="1" applyBorder="1" applyAlignment="1" applyProtection="1">
      <alignment horizontal="center"/>
      <protection hidden="1"/>
    </xf>
    <xf numFmtId="0" fontId="0" fillId="11" borderId="74" xfId="4" quotePrefix="1" applyFont="1" applyBorder="1" applyAlignment="1" applyProtection="1">
      <alignment horizontal="center" vertical="center"/>
      <protection hidden="1"/>
    </xf>
    <xf numFmtId="0" fontId="0" fillId="11" borderId="75" xfId="4" applyFont="1" applyBorder="1" applyAlignment="1" applyProtection="1">
      <alignment horizontal="center"/>
      <protection hidden="1"/>
    </xf>
    <xf numFmtId="0" fontId="0" fillId="10" borderId="22" xfId="0" applyFill="1" applyBorder="1" applyAlignment="1" applyProtection="1">
      <alignment horizontal="center" vertical="center"/>
      <protection hidden="1"/>
    </xf>
    <xf numFmtId="0" fontId="0" fillId="10" borderId="25" xfId="0" applyFill="1" applyBorder="1" applyAlignment="1" applyProtection="1">
      <alignment horizontal="center" vertical="center"/>
      <protection hidden="1"/>
    </xf>
    <xf numFmtId="0" fontId="0" fillId="10" borderId="2" xfId="0" applyFill="1" applyBorder="1" applyAlignment="1" applyProtection="1">
      <alignment horizontal="center" vertical="center"/>
      <protection hidden="1"/>
    </xf>
    <xf numFmtId="0" fontId="1" fillId="10" borderId="24" xfId="0" applyFont="1" applyFill="1" applyBorder="1" applyAlignment="1" applyProtection="1">
      <alignment horizontal="center" vertical="center"/>
      <protection hidden="1"/>
    </xf>
    <xf numFmtId="0" fontId="1" fillId="10" borderId="4" xfId="0" applyFont="1" applyFill="1" applyBorder="1" applyAlignment="1" applyProtection="1">
      <alignment horizontal="center" vertical="center"/>
      <protection hidden="1"/>
    </xf>
    <xf numFmtId="0" fontId="0" fillId="0" borderId="16" xfId="0" applyBorder="1" applyAlignment="1" applyProtection="1">
      <alignment horizontal="center"/>
      <protection hidden="1"/>
    </xf>
    <xf numFmtId="0" fontId="0" fillId="0" borderId="1" xfId="0" applyBorder="1" applyAlignment="1" applyProtection="1">
      <alignment horizontal="center"/>
      <protection hidden="1"/>
    </xf>
    <xf numFmtId="0" fontId="1" fillId="0" borderId="4"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0" fillId="0" borderId="6" xfId="0" applyBorder="1" applyAlignment="1" applyProtection="1">
      <alignment horizontal="center"/>
      <protection hidden="1"/>
    </xf>
    <xf numFmtId="0" fontId="0" fillId="0" borderId="2" xfId="0" applyBorder="1" applyAlignment="1" applyProtection="1">
      <alignment horizontal="center"/>
      <protection hidden="1"/>
    </xf>
    <xf numFmtId="0" fontId="1" fillId="0" borderId="3" xfId="0" applyFont="1" applyBorder="1" applyAlignment="1" applyProtection="1">
      <alignment horizontal="center"/>
      <protection hidden="1"/>
    </xf>
    <xf numFmtId="0" fontId="1" fillId="0" borderId="3"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0" fillId="0" borderId="15" xfId="0" applyBorder="1" applyAlignment="1" applyProtection="1">
      <alignment horizontal="center"/>
      <protection hidden="1"/>
    </xf>
    <xf numFmtId="0" fontId="0" fillId="0" borderId="1"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3" xfId="0"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7" xfId="0" applyBorder="1" applyAlignment="1" applyProtection="1">
      <alignment horizontal="center"/>
      <protection hidden="1"/>
    </xf>
    <xf numFmtId="0" fontId="1" fillId="0" borderId="4" xfId="0" applyFont="1" applyFill="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2" xfId="0" applyBorder="1" applyAlignment="1" applyProtection="1">
      <alignment horizontal="center" vertical="center"/>
      <protection locked="0" hidden="1"/>
    </xf>
    <xf numFmtId="0" fontId="0" fillId="0" borderId="7" xfId="0" applyBorder="1" applyAlignment="1" applyProtection="1">
      <alignment horizontal="center" vertical="center"/>
      <protection hidden="1"/>
    </xf>
    <xf numFmtId="0" fontId="0" fillId="0" borderId="1" xfId="0" applyBorder="1" applyAlignment="1" applyProtection="1">
      <alignment horizontal="center" vertical="center"/>
      <protection locked="0" hidden="1"/>
    </xf>
    <xf numFmtId="0" fontId="0" fillId="0" borderId="17" xfId="0" applyBorder="1" applyAlignment="1" applyProtection="1">
      <alignment horizontal="center"/>
      <protection hidden="1"/>
    </xf>
    <xf numFmtId="0" fontId="1" fillId="0" borderId="4" xfId="0" applyFont="1" applyBorder="1" applyAlignment="1" applyProtection="1">
      <alignment vertical="center"/>
      <protection hidden="1"/>
    </xf>
    <xf numFmtId="0" fontId="1" fillId="0" borderId="24" xfId="0" applyFont="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0" fillId="0" borderId="9" xfId="0" applyBorder="1" applyAlignment="1" applyProtection="1">
      <alignment horizontal="center"/>
      <protection hidden="1"/>
    </xf>
    <xf numFmtId="0" fontId="0" fillId="0" borderId="22"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0" xfId="0" applyAlignment="1" applyProtection="1">
      <alignment horizontal="center"/>
      <protection hidden="1"/>
    </xf>
    <xf numFmtId="0" fontId="0" fillId="0" borderId="0" xfId="0" applyBorder="1" applyAlignment="1" applyProtection="1">
      <alignment horizontal="center" vertical="center"/>
      <protection hidden="1"/>
    </xf>
    <xf numFmtId="0" fontId="0" fillId="0" borderId="25" xfId="0" applyBorder="1" applyAlignment="1" applyProtection="1">
      <alignment horizontal="center"/>
      <protection hidden="1"/>
    </xf>
    <xf numFmtId="0" fontId="0" fillId="0" borderId="27" xfId="0" applyBorder="1" applyAlignment="1" applyProtection="1">
      <alignment horizontal="center"/>
      <protection hidden="1"/>
    </xf>
    <xf numFmtId="0" fontId="1" fillId="0" borderId="20" xfId="0" applyFont="1" applyBorder="1" applyAlignment="1" applyProtection="1">
      <alignment horizontal="center"/>
      <protection hidden="1"/>
    </xf>
    <xf numFmtId="0" fontId="1" fillId="0" borderId="21" xfId="0" applyFont="1" applyBorder="1" applyAlignment="1" applyProtection="1">
      <alignment horizontal="center"/>
      <protection hidden="1"/>
    </xf>
    <xf numFmtId="0" fontId="0" fillId="0" borderId="15"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1" fillId="0" borderId="38" xfId="0" applyFont="1"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1" fillId="0" borderId="5" xfId="0" applyFont="1" applyFill="1" applyBorder="1" applyAlignment="1" applyProtection="1">
      <alignment horizontal="center" vertical="center"/>
      <protection hidden="1"/>
    </xf>
    <xf numFmtId="0" fontId="1" fillId="0" borderId="8" xfId="0" applyFont="1" applyFill="1" applyBorder="1" applyAlignment="1" applyProtection="1">
      <alignment horizontal="center" vertical="center" wrapText="1"/>
      <protection hidden="1"/>
    </xf>
    <xf numFmtId="0" fontId="0" fillId="0" borderId="20" xfId="0" applyFont="1" applyFill="1" applyBorder="1" applyAlignment="1" applyProtection="1">
      <alignment horizontal="center" vertical="center"/>
      <protection hidden="1"/>
    </xf>
    <xf numFmtId="0" fontId="1" fillId="0" borderId="60" xfId="0" applyFont="1" applyFill="1" applyBorder="1" applyAlignment="1" applyProtection="1">
      <alignment horizontal="center" vertical="center"/>
      <protection hidden="1"/>
    </xf>
    <xf numFmtId="0" fontId="1" fillId="0" borderId="61" xfId="0" applyFont="1" applyFill="1" applyBorder="1" applyAlignment="1" applyProtection="1">
      <alignment horizontal="center" vertical="center"/>
      <protection hidden="1"/>
    </xf>
    <xf numFmtId="0" fontId="1" fillId="0" borderId="62" xfId="0" applyFont="1" applyFill="1" applyBorder="1" applyAlignment="1" applyProtection="1">
      <alignment horizontal="center" vertical="center"/>
      <protection hidden="1"/>
    </xf>
    <xf numFmtId="0" fontId="0" fillId="0" borderId="17"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0" fontId="0" fillId="0" borderId="0" xfId="0" applyAlignment="1" applyProtection="1">
      <alignment wrapText="1"/>
      <protection hidden="1"/>
    </xf>
    <xf numFmtId="0" fontId="0" fillId="0" borderId="0" xfId="0" applyAlignment="1" applyProtection="1">
      <alignment vertical="center" wrapText="1"/>
      <protection hidden="1"/>
    </xf>
    <xf numFmtId="0" fontId="0" fillId="0" borderId="16" xfId="0" applyBorder="1" applyAlignment="1" applyProtection="1">
      <alignment horizontal="center"/>
      <protection hidden="1"/>
    </xf>
    <xf numFmtId="0" fontId="0" fillId="0" borderId="1" xfId="0" applyBorder="1" applyAlignment="1" applyProtection="1">
      <alignment horizontal="center"/>
      <protection hidden="1"/>
    </xf>
    <xf numFmtId="0" fontId="0" fillId="0" borderId="6" xfId="0" applyBorder="1" applyAlignment="1" applyProtection="1">
      <alignment horizontal="center"/>
      <protection hidden="1"/>
    </xf>
    <xf numFmtId="0" fontId="0" fillId="0" borderId="2" xfId="0" applyBorder="1" applyAlignment="1" applyProtection="1">
      <alignment horizontal="center"/>
      <protection hidden="1"/>
    </xf>
    <xf numFmtId="0" fontId="1" fillId="0" borderId="3"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3" xfId="0"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7" xfId="0" applyBorder="1" applyAlignment="1" applyProtection="1">
      <alignment horizontal="center"/>
      <protection hidden="1"/>
    </xf>
    <xf numFmtId="0" fontId="1" fillId="0" borderId="3"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0" fillId="0" borderId="17" xfId="0" applyBorder="1" applyAlignment="1" applyProtection="1">
      <alignment horizontal="center"/>
      <protection hidden="1"/>
    </xf>
    <xf numFmtId="0" fontId="1" fillId="0" borderId="5" xfId="0" applyFont="1"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58" xfId="0" applyBorder="1" applyAlignment="1" applyProtection="1">
      <protection hidden="1"/>
    </xf>
    <xf numFmtId="0" fontId="0" fillId="0" borderId="59" xfId="0" applyBorder="1" applyAlignment="1" applyProtection="1">
      <alignment horizontal="center" vertical="center"/>
      <protection hidden="1"/>
    </xf>
    <xf numFmtId="0" fontId="0" fillId="0" borderId="76" xfId="0" applyBorder="1" applyAlignment="1" applyProtection="1">
      <protection hidden="1"/>
    </xf>
    <xf numFmtId="0" fontId="1" fillId="0" borderId="78" xfId="0" applyFont="1" applyBorder="1" applyAlignment="1" applyProtection="1">
      <alignment horizontal="center"/>
      <protection hidden="1"/>
    </xf>
    <xf numFmtId="0" fontId="1" fillId="0" borderId="77" xfId="0" applyFont="1" applyBorder="1" applyAlignment="1" applyProtection="1">
      <alignment horizontal="center"/>
      <protection hidden="1"/>
    </xf>
    <xf numFmtId="0" fontId="1" fillId="0" borderId="57" xfId="0" applyFont="1" applyBorder="1" applyAlignment="1" applyProtection="1">
      <alignment horizontal="center"/>
      <protection hidden="1"/>
    </xf>
    <xf numFmtId="0" fontId="0" fillId="0" borderId="55" xfId="0" applyFill="1" applyBorder="1" applyAlignment="1" applyProtection="1">
      <alignment horizontal="center"/>
      <protection hidden="1"/>
    </xf>
    <xf numFmtId="0" fontId="0" fillId="0" borderId="4" xfId="0" quotePrefix="1" applyBorder="1" applyAlignment="1" applyProtection="1">
      <alignment horizontal="center"/>
      <protection hidden="1"/>
    </xf>
    <xf numFmtId="0" fontId="1" fillId="10" borderId="3" xfId="0" applyFont="1" applyFill="1" applyBorder="1" applyAlignment="1" applyProtection="1">
      <alignment horizontal="center" vertical="center"/>
      <protection hidden="1"/>
    </xf>
    <xf numFmtId="0" fontId="0" fillId="10" borderId="6" xfId="0" applyFill="1" applyBorder="1" applyAlignment="1" applyProtection="1">
      <alignment horizontal="center" vertical="center"/>
      <protection hidden="1"/>
    </xf>
    <xf numFmtId="0" fontId="0" fillId="10" borderId="16" xfId="0" applyFill="1" applyBorder="1" applyAlignment="1" applyProtection="1">
      <alignment horizontal="center" vertical="center"/>
      <protection hidden="1"/>
    </xf>
    <xf numFmtId="0" fontId="0" fillId="0" borderId="0" xfId="0" applyBorder="1" applyProtection="1">
      <protection hidden="1"/>
    </xf>
    <xf numFmtId="0" fontId="0" fillId="0" borderId="0" xfId="0" applyBorder="1" applyAlignment="1" applyProtection="1">
      <alignment vertical="center"/>
      <protection hidden="1"/>
    </xf>
    <xf numFmtId="0" fontId="1" fillId="0" borderId="78" xfId="0" applyFont="1" applyFill="1" applyBorder="1" applyAlignment="1" applyProtection="1">
      <alignment horizontal="center" vertical="center"/>
      <protection hidden="1"/>
    </xf>
    <xf numFmtId="0" fontId="1" fillId="0" borderId="77" xfId="0" applyFont="1" applyFill="1" applyBorder="1" applyAlignment="1" applyProtection="1">
      <alignment horizontal="center" vertical="center"/>
      <protection hidden="1"/>
    </xf>
    <xf numFmtId="0" fontId="1" fillId="0" borderId="79" xfId="0" applyFont="1" applyBorder="1" applyAlignment="1" applyProtection="1">
      <alignment horizontal="center" vertical="center"/>
      <protection hidden="1"/>
    </xf>
    <xf numFmtId="0" fontId="1" fillId="0" borderId="61" xfId="0" applyFont="1" applyBorder="1" applyProtection="1">
      <protection hidden="1"/>
    </xf>
    <xf numFmtId="0" fontId="1" fillId="0" borderId="62" xfId="0" applyFont="1" applyBorder="1" applyProtection="1">
      <protection hidden="1"/>
    </xf>
    <xf numFmtId="0" fontId="0" fillId="0" borderId="1" xfId="0" applyBorder="1" applyAlignment="1" applyProtection="1">
      <alignment horizontal="center" vertical="center"/>
      <protection hidden="1"/>
    </xf>
    <xf numFmtId="0" fontId="0" fillId="0" borderId="4" xfId="0" applyBorder="1" applyProtection="1">
      <protection locked="0"/>
    </xf>
    <xf numFmtId="0" fontId="0" fillId="0" borderId="5" xfId="0" applyBorder="1" applyProtection="1">
      <protection locked="0"/>
    </xf>
    <xf numFmtId="0" fontId="0" fillId="0" borderId="1" xfId="0" applyBorder="1" applyProtection="1">
      <protection locked="0"/>
    </xf>
    <xf numFmtId="0" fontId="0" fillId="0" borderId="17" xfId="0" applyBorder="1" applyProtection="1">
      <protection locked="0"/>
    </xf>
    <xf numFmtId="0" fontId="0" fillId="0" borderId="2" xfId="0" applyBorder="1" applyProtection="1">
      <protection locked="0"/>
    </xf>
    <xf numFmtId="0" fontId="0" fillId="0" borderId="7" xfId="0" applyBorder="1" applyProtection="1">
      <protection locked="0"/>
    </xf>
    <xf numFmtId="0" fontId="0" fillId="10" borderId="16" xfId="0" applyFill="1" applyBorder="1" applyAlignment="1" applyProtection="1">
      <alignment horizontal="center" vertical="center"/>
      <protection locked="0"/>
    </xf>
    <xf numFmtId="0" fontId="0" fillId="10" borderId="1" xfId="0" applyFill="1" applyBorder="1" applyAlignment="1" applyProtection="1">
      <alignment horizontal="center" vertical="center"/>
      <protection locked="0"/>
    </xf>
    <xf numFmtId="0" fontId="0" fillId="10" borderId="17" xfId="0"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13" borderId="16"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7" xfId="0" applyBorder="1" applyAlignment="1" applyProtection="1">
      <alignment vertical="center"/>
      <protection locked="0"/>
    </xf>
    <xf numFmtId="0" fontId="0" fillId="0" borderId="15" xfId="0" applyBorder="1" applyAlignment="1" applyProtection="1">
      <alignment horizontal="center" vertical="center"/>
      <protection locked="0"/>
    </xf>
    <xf numFmtId="0" fontId="0" fillId="0" borderId="1" xfId="0" applyBorder="1" applyAlignment="1" applyProtection="1">
      <alignment horizontal="center"/>
      <protection locked="0"/>
    </xf>
    <xf numFmtId="0" fontId="0" fillId="0" borderId="1" xfId="0"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 xfId="0" applyBorder="1" applyAlignment="1" applyProtection="1">
      <alignment horizontal="center"/>
      <protection locked="0"/>
    </xf>
    <xf numFmtId="0" fontId="0" fillId="0" borderId="1" xfId="0" applyBorder="1" applyAlignment="1" applyProtection="1">
      <alignment horizontal="center"/>
      <protection hidden="1"/>
    </xf>
    <xf numFmtId="0" fontId="0" fillId="0" borderId="4" xfId="0" applyBorder="1" applyAlignment="1" applyProtection="1">
      <alignment horizontal="center"/>
      <protection hidden="1"/>
    </xf>
    <xf numFmtId="0" fontId="0" fillId="0" borderId="2" xfId="0" applyBorder="1" applyAlignment="1" applyProtection="1">
      <alignment horizontal="center"/>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1" fillId="0" borderId="4" xfId="0" applyFont="1" applyBorder="1" applyAlignment="1" applyProtection="1">
      <alignment horizontal="center"/>
      <protection hidden="1"/>
    </xf>
    <xf numFmtId="0" fontId="1" fillId="0" borderId="38" xfId="0" applyFont="1" applyBorder="1" applyAlignment="1" applyProtection="1">
      <alignment horizontal="center"/>
      <protection hidden="1"/>
    </xf>
    <xf numFmtId="0" fontId="0" fillId="0" borderId="18"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0" xfId="0" applyProtection="1"/>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 fillId="0" borderId="57" xfId="0" applyFont="1" applyBorder="1" applyAlignment="1" applyProtection="1">
      <alignment horizontal="center" vertical="center"/>
      <protection hidden="1"/>
    </xf>
    <xf numFmtId="0" fontId="0" fillId="0" borderId="0" xfId="0" applyAlignment="1">
      <alignment vertical="center" wrapText="1"/>
    </xf>
    <xf numFmtId="0" fontId="1" fillId="0" borderId="77" xfId="0" applyFont="1" applyBorder="1" applyAlignment="1" applyProtection="1">
      <alignment horizontal="center" vertical="center"/>
      <protection hidden="1"/>
    </xf>
    <xf numFmtId="0" fontId="1" fillId="0" borderId="78" xfId="0" applyFont="1" applyBorder="1" applyAlignment="1" applyProtection="1">
      <alignment horizontal="center" vertical="center"/>
      <protection hidden="1"/>
    </xf>
    <xf numFmtId="0" fontId="0" fillId="0" borderId="15" xfId="0" applyBorder="1" applyProtection="1">
      <protection locked="0"/>
    </xf>
    <xf numFmtId="0" fontId="0" fillId="0" borderId="27" xfId="0" applyBorder="1" applyProtection="1">
      <protection locked="0"/>
    </xf>
    <xf numFmtId="0" fontId="0" fillId="0" borderId="20" xfId="0" applyBorder="1" applyProtection="1">
      <protection locked="0"/>
    </xf>
    <xf numFmtId="0" fontId="0" fillId="0" borderId="21" xfId="0" applyBorder="1" applyProtection="1">
      <protection locked="0"/>
    </xf>
    <xf numFmtId="0" fontId="0" fillId="0" borderId="0" xfId="0" quotePrefix="1" applyAlignment="1">
      <alignment vertical="top" wrapText="1"/>
    </xf>
    <xf numFmtId="0" fontId="0" fillId="0" borderId="0" xfId="0" applyAlignment="1">
      <alignment vertical="top"/>
    </xf>
    <xf numFmtId="0" fontId="14" fillId="0" borderId="0" xfId="0" applyFont="1" applyAlignment="1">
      <alignment horizontal="center" vertical="top" wrapText="1"/>
    </xf>
    <xf numFmtId="0" fontId="0" fillId="0" borderId="1" xfId="0" quotePrefix="1" applyBorder="1" applyAlignment="1">
      <alignment vertical="top" wrapText="1"/>
    </xf>
    <xf numFmtId="0" fontId="0" fillId="0" borderId="1" xfId="0" applyBorder="1" applyAlignment="1">
      <alignment vertical="top" wrapText="1"/>
    </xf>
    <xf numFmtId="0" fontId="0" fillId="0" borderId="1" xfId="0" applyBorder="1" applyAlignment="1">
      <alignment vertical="top"/>
    </xf>
    <xf numFmtId="0" fontId="0" fillId="0" borderId="0" xfId="0" applyAlignment="1">
      <alignment vertical="top" wrapText="1"/>
    </xf>
    <xf numFmtId="0" fontId="0" fillId="0" borderId="8"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39" xfId="0" applyBorder="1" applyAlignment="1" applyProtection="1">
      <alignment horizontal="center" vertical="center" wrapText="1"/>
      <protection hidden="1"/>
    </xf>
    <xf numFmtId="0" fontId="7" fillId="0" borderId="8" xfId="0" applyFont="1" applyBorder="1" applyAlignment="1" applyProtection="1">
      <alignment horizontal="center" vertical="center" wrapText="1"/>
      <protection hidden="1"/>
    </xf>
    <xf numFmtId="0" fontId="7" fillId="0" borderId="9"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7" fillId="0" borderId="13" xfId="0" applyFont="1" applyBorder="1" applyAlignment="1" applyProtection="1">
      <alignment horizontal="center" vertical="center" wrapText="1"/>
      <protection hidden="1"/>
    </xf>
    <xf numFmtId="0" fontId="7" fillId="0" borderId="14" xfId="0" applyFont="1" applyBorder="1" applyAlignment="1" applyProtection="1">
      <alignment horizontal="center" vertical="center" wrapText="1"/>
      <protection hidden="1"/>
    </xf>
    <xf numFmtId="0" fontId="7" fillId="0" borderId="39" xfId="0" applyFont="1" applyBorder="1"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43" xfId="0" applyBorder="1" applyAlignment="1" applyProtection="1">
      <alignment horizontal="center" vertical="center" wrapText="1"/>
      <protection hidden="1"/>
    </xf>
    <xf numFmtId="0" fontId="0" fillId="0" borderId="67" xfId="0" applyBorder="1" applyAlignment="1" applyProtection="1">
      <alignment horizontal="center" vertical="center" wrapText="1"/>
      <protection hidden="1"/>
    </xf>
    <xf numFmtId="0" fontId="0" fillId="0" borderId="29"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12" borderId="33" xfId="0" applyFill="1" applyBorder="1" applyAlignment="1" applyProtection="1">
      <alignment horizontal="center" vertical="center"/>
      <protection hidden="1"/>
    </xf>
    <xf numFmtId="0" fontId="0" fillId="12" borderId="32" xfId="0" applyFill="1" applyBorder="1" applyAlignment="1" applyProtection="1">
      <alignment horizontal="center" vertical="center"/>
      <protection hidden="1"/>
    </xf>
    <xf numFmtId="0" fontId="0" fillId="12" borderId="41" xfId="0" applyFill="1"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9" borderId="11" xfId="0" applyFill="1" applyBorder="1" applyAlignment="1" applyProtection="1">
      <alignment horizontal="center"/>
      <protection hidden="1"/>
    </xf>
    <xf numFmtId="0" fontId="0" fillId="9" borderId="0" xfId="0" applyFill="1" applyBorder="1" applyAlignment="1" applyProtection="1">
      <alignment horizontal="center"/>
      <protection hidden="1"/>
    </xf>
    <xf numFmtId="0" fontId="0" fillId="9" borderId="12" xfId="0" applyFill="1" applyBorder="1" applyAlignment="1" applyProtection="1">
      <alignment horizontal="center"/>
      <protection hidden="1"/>
    </xf>
    <xf numFmtId="0" fontId="0" fillId="0" borderId="11"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2" xfId="0" applyBorder="1" applyAlignment="1" applyProtection="1">
      <alignment horizontal="center"/>
      <protection hidden="1"/>
    </xf>
    <xf numFmtId="0" fontId="0" fillId="5" borderId="11" xfId="0" applyFill="1" applyBorder="1" applyAlignment="1" applyProtection="1">
      <alignment horizontal="center" wrapText="1"/>
      <protection hidden="1"/>
    </xf>
    <xf numFmtId="0" fontId="0" fillId="5" borderId="0" xfId="0" applyFill="1" applyBorder="1" applyAlignment="1" applyProtection="1">
      <alignment horizontal="center" wrapText="1"/>
      <protection hidden="1"/>
    </xf>
    <xf numFmtId="0" fontId="0" fillId="5" borderId="12" xfId="0" applyFill="1" applyBorder="1" applyAlignment="1" applyProtection="1">
      <alignment horizontal="center" wrapText="1"/>
      <protection hidden="1"/>
    </xf>
    <xf numFmtId="0" fontId="0" fillId="6" borderId="11" xfId="0" applyFill="1" applyBorder="1" applyAlignment="1" applyProtection="1">
      <alignment horizontal="center" wrapText="1"/>
      <protection hidden="1"/>
    </xf>
    <xf numFmtId="0" fontId="0" fillId="6" borderId="0" xfId="0" applyFill="1" applyBorder="1" applyAlignment="1" applyProtection="1">
      <alignment horizontal="center" wrapText="1"/>
      <protection hidden="1"/>
    </xf>
    <xf numFmtId="0" fontId="0" fillId="6" borderId="12" xfId="0" applyFill="1" applyBorder="1" applyAlignment="1" applyProtection="1">
      <alignment horizontal="center" wrapText="1"/>
      <protection hidden="1"/>
    </xf>
    <xf numFmtId="0" fontId="0" fillId="8" borderId="11" xfId="0" applyFill="1" applyBorder="1" applyAlignment="1" applyProtection="1">
      <alignment horizontal="center" vertical="center" wrapText="1"/>
      <protection hidden="1"/>
    </xf>
    <xf numFmtId="0" fontId="0" fillId="8" borderId="0" xfId="0" applyFill="1" applyBorder="1" applyAlignment="1" applyProtection="1">
      <alignment horizontal="center" vertical="center" wrapText="1"/>
      <protection hidden="1"/>
    </xf>
    <xf numFmtId="0" fontId="0" fillId="8" borderId="12" xfId="0" applyFill="1" applyBorder="1" applyAlignment="1" applyProtection="1">
      <alignment horizontal="center" vertical="center" wrapText="1"/>
      <protection hidden="1"/>
    </xf>
    <xf numFmtId="0" fontId="0" fillId="7" borderId="11" xfId="0" applyFill="1" applyBorder="1" applyAlignment="1" applyProtection="1">
      <alignment horizontal="center" vertical="center"/>
      <protection hidden="1"/>
    </xf>
    <xf numFmtId="0" fontId="0" fillId="7" borderId="0" xfId="0" applyFill="1" applyBorder="1" applyAlignment="1" applyProtection="1">
      <alignment horizontal="center" vertical="center"/>
      <protection hidden="1"/>
    </xf>
    <xf numFmtId="0" fontId="0" fillId="7" borderId="12" xfId="0" applyFill="1" applyBorder="1" applyAlignment="1" applyProtection="1">
      <alignment horizontal="center" vertical="center"/>
      <protection hidden="1"/>
    </xf>
    <xf numFmtId="0" fontId="0" fillId="0" borderId="11" xfId="0" applyBorder="1" applyAlignment="1" applyProtection="1">
      <alignment horizontal="center" wrapText="1"/>
      <protection hidden="1"/>
    </xf>
    <xf numFmtId="0" fontId="0" fillId="0" borderId="0" xfId="0" applyBorder="1" applyAlignment="1" applyProtection="1">
      <alignment horizontal="center" wrapText="1"/>
      <protection hidden="1"/>
    </xf>
    <xf numFmtId="0" fontId="0" fillId="0" borderId="12" xfId="0" applyBorder="1" applyAlignment="1" applyProtection="1">
      <alignment horizontal="center" wrapText="1"/>
      <protection hidden="1"/>
    </xf>
    <xf numFmtId="0" fontId="0" fillId="0" borderId="13" xfId="0" applyBorder="1" applyAlignment="1" applyProtection="1">
      <alignment horizontal="center" wrapText="1"/>
      <protection hidden="1"/>
    </xf>
    <xf numFmtId="0" fontId="0" fillId="0" borderId="14" xfId="0" applyBorder="1" applyAlignment="1" applyProtection="1">
      <alignment horizontal="center" wrapText="1"/>
      <protection hidden="1"/>
    </xf>
    <xf numFmtId="0" fontId="0" fillId="0" borderId="39" xfId="0" applyBorder="1" applyAlignment="1" applyProtection="1">
      <alignment horizontal="center" wrapText="1"/>
      <protection hidden="1"/>
    </xf>
    <xf numFmtId="0" fontId="0" fillId="0" borderId="58" xfId="0" applyBorder="1" applyAlignment="1" applyProtection="1">
      <alignment horizontal="center" vertical="center" wrapText="1"/>
      <protection hidden="1"/>
    </xf>
    <xf numFmtId="0" fontId="0" fillId="0" borderId="59" xfId="0" applyBorder="1" applyAlignment="1" applyProtection="1">
      <alignment horizontal="center" vertical="center" wrapText="1"/>
      <protection hidden="1"/>
    </xf>
    <xf numFmtId="0" fontId="0" fillId="0" borderId="76" xfId="0" applyBorder="1" applyAlignment="1" applyProtection="1">
      <alignment horizontal="center" vertical="center" wrapText="1"/>
      <protection hidden="1"/>
    </xf>
    <xf numFmtId="0" fontId="0" fillId="0" borderId="8" xfId="0" applyBorder="1" applyAlignment="1" applyProtection="1">
      <alignment horizontal="center" wrapText="1"/>
      <protection hidden="1"/>
    </xf>
    <xf numFmtId="0" fontId="0" fillId="0" borderId="9" xfId="0" applyBorder="1" applyAlignment="1" applyProtection="1">
      <alignment horizontal="center" wrapText="1"/>
      <protection hidden="1"/>
    </xf>
    <xf numFmtId="0" fontId="0" fillId="0" borderId="10" xfId="0" applyBorder="1" applyAlignment="1" applyProtection="1">
      <alignment horizontal="center" wrapText="1"/>
      <protection hidden="1"/>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1"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16" xfId="0" applyBorder="1" applyAlignment="1" applyProtection="1">
      <alignment horizontal="center"/>
      <protection locked="0"/>
    </xf>
    <xf numFmtId="0" fontId="0" fillId="0" borderId="1" xfId="0" applyBorder="1" applyAlignment="1" applyProtection="1">
      <alignment horizontal="center"/>
      <protection locked="0"/>
    </xf>
    <xf numFmtId="0" fontId="1" fillId="0" borderId="68" xfId="0" applyFont="1" applyBorder="1" applyAlignment="1" applyProtection="1">
      <alignment horizontal="center"/>
      <protection hidden="1"/>
    </xf>
    <xf numFmtId="0" fontId="0" fillId="0" borderId="4" xfId="0" applyBorder="1" applyAlignment="1" applyProtection="1">
      <alignment horizontal="center"/>
      <protection locked="0"/>
    </xf>
    <xf numFmtId="0" fontId="0" fillId="0" borderId="16"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 fillId="0" borderId="3"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7" fillId="0" borderId="24"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7" fillId="0" borderId="21" xfId="0" applyFont="1" applyBorder="1" applyAlignment="1" applyProtection="1">
      <alignment horizontal="center" vertical="center"/>
      <protection hidden="1"/>
    </xf>
    <xf numFmtId="0" fontId="1" fillId="0" borderId="22"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24"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xf numFmtId="0" fontId="1" fillId="0" borderId="16" xfId="0" applyFont="1" applyBorder="1" applyAlignment="1" applyProtection="1">
      <alignment horizontal="center" vertical="center"/>
      <protection hidden="1"/>
    </xf>
    <xf numFmtId="0" fontId="1" fillId="0" borderId="25"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0" fillId="0" borderId="38"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 fillId="0" borderId="60" xfId="0" applyFont="1" applyBorder="1" applyAlignment="1" applyProtection="1">
      <alignment horizontal="center"/>
      <protection hidden="1"/>
    </xf>
    <xf numFmtId="0" fontId="1" fillId="0" borderId="61" xfId="0" applyFont="1" applyBorder="1" applyAlignment="1" applyProtection="1">
      <alignment horizontal="center"/>
      <protection hidden="1"/>
    </xf>
    <xf numFmtId="0" fontId="0" fillId="0" borderId="17" xfId="0" applyBorder="1" applyAlignment="1" applyProtection="1">
      <alignment horizontal="center" vertical="center"/>
      <protection hidden="1"/>
    </xf>
    <xf numFmtId="0" fontId="1" fillId="0" borderId="2" xfId="0" applyFont="1" applyBorder="1" applyAlignment="1" applyProtection="1">
      <alignment horizontal="center"/>
      <protection hidden="1"/>
    </xf>
    <xf numFmtId="0" fontId="0" fillId="0" borderId="1" xfId="0" applyBorder="1" applyAlignment="1" applyProtection="1">
      <alignment horizontal="center"/>
      <protection hidden="1"/>
    </xf>
    <xf numFmtId="0" fontId="1" fillId="0" borderId="3" xfId="0" applyFont="1" applyBorder="1" applyAlignment="1" applyProtection="1">
      <alignment horizontal="center"/>
      <protection hidden="1"/>
    </xf>
    <xf numFmtId="0" fontId="1" fillId="0" borderId="4" xfId="0" applyFont="1" applyBorder="1" applyAlignment="1" applyProtection="1">
      <alignment horizontal="center"/>
      <protection hidden="1"/>
    </xf>
    <xf numFmtId="0" fontId="1" fillId="0" borderId="16" xfId="0" applyFont="1" applyBorder="1" applyAlignment="1" applyProtection="1">
      <alignment horizontal="center"/>
      <protection hidden="1"/>
    </xf>
    <xf numFmtId="0" fontId="1" fillId="0" borderId="1"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5" xfId="0" applyFont="1" applyBorder="1" applyAlignment="1" applyProtection="1">
      <alignment horizontal="center" vertical="center"/>
      <protection hidden="1"/>
    </xf>
    <xf numFmtId="0" fontId="0" fillId="0" borderId="17" xfId="0" applyBorder="1" applyAlignment="1" applyProtection="1">
      <alignment horizontal="center"/>
      <protection locked="0"/>
    </xf>
    <xf numFmtId="0" fontId="1" fillId="0" borderId="16" xfId="0" applyFont="1" applyBorder="1" applyAlignment="1" applyProtection="1">
      <alignment horizontal="center"/>
      <protection locked="0" hidden="1"/>
    </xf>
    <xf numFmtId="0" fontId="1" fillId="0" borderId="1" xfId="0" applyFont="1" applyBorder="1" applyAlignment="1" applyProtection="1">
      <alignment horizontal="center"/>
      <protection locked="0" hidden="1"/>
    </xf>
    <xf numFmtId="0" fontId="0" fillId="0" borderId="18" xfId="0" applyBorder="1" applyAlignment="1" applyProtection="1">
      <alignment horizontal="center"/>
      <protection locked="0"/>
    </xf>
    <xf numFmtId="0" fontId="0" fillId="0" borderId="2" xfId="0" applyBorder="1" applyAlignment="1" applyProtection="1">
      <alignment horizontal="center"/>
      <protection hidden="1"/>
    </xf>
    <xf numFmtId="0" fontId="0" fillId="0" borderId="2"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4" xfId="0"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1" fillId="0" borderId="28" xfId="0" applyFont="1" applyBorder="1" applyAlignment="1" applyProtection="1">
      <alignment horizontal="center" vertical="center"/>
      <protection hidden="1"/>
    </xf>
    <xf numFmtId="0" fontId="1" fillId="0" borderId="15" xfId="0" applyFont="1" applyBorder="1" applyAlignment="1" applyProtection="1">
      <alignment horizontal="center" vertical="center"/>
      <protection hidden="1"/>
    </xf>
    <xf numFmtId="0" fontId="1" fillId="0" borderId="27" xfId="0" applyFont="1" applyBorder="1" applyAlignment="1" applyProtection="1">
      <alignment horizontal="center" vertical="center"/>
      <protection hidden="1"/>
    </xf>
    <xf numFmtId="0" fontId="1" fillId="0" borderId="77" xfId="0" applyFont="1" applyBorder="1" applyAlignment="1" applyProtection="1">
      <alignment horizontal="center" vertical="center"/>
      <protection hidden="1"/>
    </xf>
    <xf numFmtId="0" fontId="1" fillId="0" borderId="79" xfId="0" applyFont="1" applyBorder="1" applyAlignment="1" applyProtection="1">
      <alignment horizontal="center" vertical="center"/>
      <protection hidden="1"/>
    </xf>
    <xf numFmtId="0" fontId="1" fillId="0" borderId="78" xfId="0" applyFont="1" applyBorder="1" applyAlignment="1" applyProtection="1">
      <alignment horizontal="center" vertical="center"/>
      <protection hidden="1"/>
    </xf>
    <xf numFmtId="0" fontId="0" fillId="0" borderId="3" xfId="0" applyBorder="1" applyAlignment="1" applyProtection="1">
      <alignment horizontal="center" vertical="center"/>
      <protection locked="0"/>
    </xf>
    <xf numFmtId="0" fontId="2" fillId="0" borderId="38" xfId="0" applyFont="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0" fillId="0" borderId="7" xfId="0" applyBorder="1" applyAlignment="1" applyProtection="1">
      <alignment horizontal="center"/>
      <protection locked="0"/>
    </xf>
    <xf numFmtId="0" fontId="1" fillId="0" borderId="6" xfId="0" applyFont="1" applyBorder="1" applyAlignment="1" applyProtection="1">
      <alignment horizontal="center"/>
      <protection locked="0" hidden="1"/>
    </xf>
    <xf numFmtId="0" fontId="1" fillId="0" borderId="2" xfId="0" applyFont="1" applyBorder="1" applyAlignment="1" applyProtection="1">
      <alignment horizontal="center"/>
      <protection locked="0" hidden="1"/>
    </xf>
    <xf numFmtId="0" fontId="1" fillId="0" borderId="6" xfId="0" applyFont="1" applyBorder="1" applyAlignment="1" applyProtection="1">
      <alignment vertical="center"/>
      <protection hidden="1"/>
    </xf>
    <xf numFmtId="0" fontId="1" fillId="0" borderId="2" xfId="0" applyFont="1" applyBorder="1" applyAlignment="1" applyProtection="1">
      <alignment vertical="center"/>
      <protection hidden="1"/>
    </xf>
    <xf numFmtId="0" fontId="0" fillId="0" borderId="2"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2" fillId="0" borderId="39" xfId="0" applyFont="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9" xfId="0" applyBorder="1" applyAlignment="1" applyProtection="1">
      <alignment horizontal="center"/>
      <protection hidden="1"/>
    </xf>
    <xf numFmtId="0" fontId="1" fillId="0" borderId="65" xfId="0" applyFont="1" applyBorder="1" applyAlignment="1" applyProtection="1">
      <alignment horizontal="center"/>
      <protection hidden="1"/>
    </xf>
    <xf numFmtId="0" fontId="1" fillId="0" borderId="36" xfId="0" applyFont="1" applyBorder="1" applyAlignment="1" applyProtection="1">
      <alignment horizontal="center"/>
      <protection hidden="1"/>
    </xf>
    <xf numFmtId="0" fontId="1" fillId="0" borderId="25" xfId="0" applyFont="1" applyBorder="1" applyAlignment="1" applyProtection="1">
      <alignment horizontal="center"/>
      <protection hidden="1"/>
    </xf>
    <xf numFmtId="0" fontId="0" fillId="0" borderId="18" xfId="0" applyBorder="1" applyAlignment="1" applyProtection="1">
      <alignment horizontal="center"/>
      <protection hidden="1"/>
    </xf>
    <xf numFmtId="0" fontId="0" fillId="0" borderId="32" xfId="0" applyBorder="1" applyAlignment="1" applyProtection="1">
      <alignment horizontal="center"/>
      <protection hidden="1"/>
    </xf>
    <xf numFmtId="0" fontId="0" fillId="0" borderId="36" xfId="0" applyBorder="1" applyAlignment="1" applyProtection="1">
      <alignment horizontal="center"/>
      <protection locked="0"/>
    </xf>
    <xf numFmtId="0" fontId="1" fillId="0" borderId="3" xfId="0" applyFont="1" applyBorder="1" applyAlignment="1" applyProtection="1">
      <alignment vertical="center"/>
      <protection hidden="1"/>
    </xf>
    <xf numFmtId="0" fontId="1" fillId="0" borderId="4" xfId="0" applyFont="1" applyBorder="1" applyAlignment="1" applyProtection="1">
      <alignment vertical="center"/>
      <protection hidden="1"/>
    </xf>
    <xf numFmtId="0" fontId="1" fillId="0" borderId="33" xfId="0" applyFont="1" applyBorder="1" applyAlignment="1" applyProtection="1">
      <alignment horizontal="center" vertical="center"/>
      <protection hidden="1"/>
    </xf>
    <xf numFmtId="0" fontId="1" fillId="0" borderId="32" xfId="0" applyFont="1" applyBorder="1" applyAlignment="1" applyProtection="1">
      <alignment horizontal="center" vertical="center"/>
      <protection hidden="1"/>
    </xf>
    <xf numFmtId="0" fontId="0" fillId="0" borderId="36" xfId="0" applyBorder="1" applyAlignment="1" applyProtection="1">
      <alignment horizontal="center" vertical="center"/>
      <protection locked="0"/>
    </xf>
    <xf numFmtId="0" fontId="0" fillId="0" borderId="65" xfId="0"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38" xfId="0" applyBorder="1" applyAlignment="1" applyProtection="1">
      <alignment horizontal="center" vertical="center"/>
      <protection hidden="1"/>
    </xf>
    <xf numFmtId="0" fontId="0" fillId="0" borderId="69" xfId="0"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38" xfId="0" applyBorder="1" applyAlignment="1" applyProtection="1">
      <alignment horizontal="center"/>
      <protection hidden="1"/>
    </xf>
    <xf numFmtId="0" fontId="1" fillId="0" borderId="16" xfId="0" applyFont="1" applyBorder="1" applyAlignment="1" applyProtection="1">
      <alignment vertical="center"/>
      <protection hidden="1"/>
    </xf>
    <xf numFmtId="0" fontId="1" fillId="0" borderId="1" xfId="0" applyFont="1" applyBorder="1" applyAlignment="1" applyProtection="1">
      <alignment vertical="center"/>
      <protection hidden="1"/>
    </xf>
    <xf numFmtId="0" fontId="1" fillId="0" borderId="38"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0" fillId="0" borderId="3" xfId="0" applyBorder="1" applyAlignment="1" applyProtection="1">
      <alignment horizontal="center"/>
      <protection hidden="1"/>
    </xf>
    <xf numFmtId="0" fontId="0" fillId="0" borderId="6" xfId="0" applyBorder="1" applyAlignment="1" applyProtection="1">
      <alignment horizontal="center"/>
      <protection hidden="1"/>
    </xf>
    <xf numFmtId="0" fontId="2" fillId="0" borderId="49"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2" fillId="0" borderId="48" xfId="0" applyFont="1" applyBorder="1" applyAlignment="1" applyProtection="1">
      <alignment horizontal="center" vertical="center"/>
      <protection hidden="1"/>
    </xf>
    <xf numFmtId="0" fontId="1" fillId="0" borderId="38" xfId="0" applyFon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0" fillId="0" borderId="3" xfId="0" applyBorder="1" applyAlignment="1" applyProtection="1">
      <alignment horizontal="center"/>
      <protection locked="0"/>
    </xf>
    <xf numFmtId="0" fontId="0" fillId="0" borderId="5" xfId="0" applyBorder="1" applyAlignment="1" applyProtection="1">
      <alignment horizontal="center"/>
      <protection locked="0"/>
    </xf>
    <xf numFmtId="0" fontId="2" fillId="0" borderId="24" xfId="0" applyFont="1" applyBorder="1" applyAlignment="1" applyProtection="1">
      <alignment horizontal="center" vertical="center"/>
      <protection hidden="1"/>
    </xf>
    <xf numFmtId="0" fontId="2" fillId="0" borderId="25" xfId="0" applyFont="1" applyBorder="1" applyAlignment="1" applyProtection="1">
      <alignment horizontal="center" vertical="center"/>
      <protection hidden="1"/>
    </xf>
    <xf numFmtId="0" fontId="0" fillId="0" borderId="4" xfId="0" applyBorder="1" applyAlignment="1" applyProtection="1">
      <alignment horizontal="center" wrapText="1"/>
      <protection hidden="1"/>
    </xf>
    <xf numFmtId="0" fontId="0" fillId="0" borderId="5" xfId="0" applyBorder="1" applyAlignment="1" applyProtection="1">
      <alignment horizontal="center" wrapText="1"/>
      <protection hidden="1"/>
    </xf>
    <xf numFmtId="0" fontId="0" fillId="0" borderId="2" xfId="0" applyBorder="1" applyAlignment="1" applyProtection="1">
      <alignment horizontal="center" wrapText="1"/>
      <protection hidden="1"/>
    </xf>
    <xf numFmtId="0" fontId="0" fillId="0" borderId="35" xfId="0" applyBorder="1" applyAlignment="1" applyProtection="1">
      <alignment horizontal="center" wrapText="1"/>
      <protection hidden="1"/>
    </xf>
    <xf numFmtId="0" fontId="0" fillId="0" borderId="38" xfId="0" applyBorder="1" applyAlignment="1" applyProtection="1">
      <alignment horizontal="center" wrapText="1"/>
      <protection hidden="1"/>
    </xf>
    <xf numFmtId="0" fontId="0" fillId="0" borderId="15" xfId="0" applyBorder="1" applyAlignment="1" applyProtection="1">
      <alignment horizontal="center" wrapText="1"/>
      <protection hidden="1"/>
    </xf>
    <xf numFmtId="0" fontId="0" fillId="0" borderId="19" xfId="0" applyBorder="1" applyAlignment="1" applyProtection="1">
      <alignment horizontal="center" wrapText="1"/>
      <protection hidden="1"/>
    </xf>
    <xf numFmtId="0" fontId="1" fillId="0" borderId="81" xfId="0" applyFont="1" applyBorder="1" applyAlignment="1" applyProtection="1">
      <alignment horizontal="center"/>
      <protection hidden="1"/>
    </xf>
    <xf numFmtId="0" fontId="1" fillId="0" borderId="44" xfId="0" applyFont="1" applyBorder="1" applyAlignment="1" applyProtection="1">
      <alignment horizontal="center"/>
      <protection hidden="1"/>
    </xf>
    <xf numFmtId="0" fontId="0" fillId="0" borderId="61" xfId="0" applyBorder="1" applyAlignment="1" applyProtection="1">
      <alignment horizontal="center"/>
      <protection hidden="1"/>
    </xf>
    <xf numFmtId="0" fontId="0" fillId="0" borderId="62" xfId="0" applyBorder="1" applyAlignment="1" applyProtection="1">
      <alignment horizontal="center"/>
      <protection hidden="1"/>
    </xf>
    <xf numFmtId="0" fontId="0" fillId="0" borderId="26" xfId="0" applyBorder="1" applyAlignment="1" applyProtection="1">
      <alignment horizontal="center"/>
      <protection hidden="1"/>
    </xf>
    <xf numFmtId="0" fontId="0" fillId="0" borderId="20" xfId="0" applyBorder="1" applyAlignment="1" applyProtection="1">
      <alignment horizontal="center"/>
      <protection hidden="1"/>
    </xf>
    <xf numFmtId="0" fontId="0" fillId="0" borderId="22"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20" xfId="0" applyBorder="1" applyAlignment="1" applyProtection="1">
      <alignment horizontal="center"/>
      <protection locked="0"/>
    </xf>
    <xf numFmtId="0" fontId="0" fillId="0" borderId="28"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5" xfId="0" applyBorder="1" applyAlignment="1" applyProtection="1">
      <alignment horizontal="center"/>
      <protection locked="0"/>
    </xf>
    <xf numFmtId="0" fontId="2" fillId="0" borderId="28" xfId="0" applyFont="1" applyBorder="1" applyAlignment="1" applyProtection="1">
      <alignment horizontal="center" vertical="center"/>
      <protection hidden="1"/>
    </xf>
    <xf numFmtId="0" fontId="1" fillId="0" borderId="62" xfId="0" applyFont="1" applyBorder="1" applyAlignment="1" applyProtection="1">
      <alignment horizontal="center"/>
      <protection hidden="1"/>
    </xf>
    <xf numFmtId="0" fontId="0" fillId="0" borderId="20" xfId="0" quotePrefix="1" applyBorder="1" applyAlignment="1" applyProtection="1">
      <alignment horizontal="center"/>
      <protection locked="0"/>
    </xf>
    <xf numFmtId="0" fontId="0" fillId="0" borderId="49" xfId="0" applyBorder="1" applyAlignment="1" applyProtection="1">
      <alignment horizontal="center"/>
      <protection hidden="1"/>
    </xf>
    <xf numFmtId="0" fontId="0" fillId="0" borderId="21" xfId="0" applyBorder="1" applyAlignment="1" applyProtection="1">
      <alignment horizontal="center"/>
      <protection locked="0"/>
    </xf>
    <xf numFmtId="0" fontId="0" fillId="0" borderId="80" xfId="0" applyBorder="1" applyAlignment="1" applyProtection="1">
      <alignment horizontal="center"/>
      <protection hidden="1"/>
    </xf>
    <xf numFmtId="0" fontId="0" fillId="0" borderId="76" xfId="0" applyBorder="1" applyAlignment="1" applyProtection="1">
      <alignment horizontal="center"/>
      <protection hidden="1"/>
    </xf>
    <xf numFmtId="0" fontId="1" fillId="0" borderId="58" xfId="0" applyFont="1" applyBorder="1" applyAlignment="1" applyProtection="1">
      <alignment horizontal="center"/>
      <protection hidden="1"/>
    </xf>
    <xf numFmtId="0" fontId="1" fillId="0" borderId="59" xfId="0" applyFont="1" applyBorder="1" applyAlignment="1" applyProtection="1">
      <alignment horizontal="center"/>
      <protection hidden="1"/>
    </xf>
    <xf numFmtId="0" fontId="1" fillId="0" borderId="76" xfId="0" applyFont="1" applyBorder="1" applyAlignment="1" applyProtection="1">
      <alignment horizontal="center"/>
      <protection hidden="1"/>
    </xf>
    <xf numFmtId="0" fontId="0" fillId="0" borderId="66" xfId="0" applyBorder="1" applyAlignment="1" applyProtection="1">
      <alignment horizontal="center"/>
      <protection hidden="1"/>
    </xf>
    <xf numFmtId="0" fontId="1" fillId="0" borderId="3"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 fillId="0" borderId="6" xfId="0" applyFont="1" applyFill="1" applyBorder="1" applyAlignment="1" applyProtection="1">
      <alignment horizontal="center" vertical="center"/>
      <protection hidden="1"/>
    </xf>
    <xf numFmtId="0" fontId="1" fillId="0" borderId="60" xfId="0" applyFont="1" applyBorder="1" applyAlignment="1" applyProtection="1">
      <alignment horizontal="center" vertical="center"/>
      <protection hidden="1"/>
    </xf>
    <xf numFmtId="0" fontId="1" fillId="0" borderId="61" xfId="0" applyFont="1" applyBorder="1" applyAlignment="1" applyProtection="1">
      <alignment horizontal="center" vertical="center"/>
      <protection hidden="1"/>
    </xf>
    <xf numFmtId="0" fontId="1" fillId="0" borderId="62" xfId="0" applyFont="1" applyBorder="1" applyAlignment="1" applyProtection="1">
      <alignment horizontal="center" vertical="center"/>
      <protection hidden="1"/>
    </xf>
    <xf numFmtId="0" fontId="0" fillId="0" borderId="6" xfId="0" applyBorder="1" applyAlignment="1" applyProtection="1">
      <alignment horizontal="center"/>
      <protection locked="0"/>
    </xf>
    <xf numFmtId="0" fontId="0" fillId="0" borderId="5" xfId="0" applyBorder="1" applyAlignment="1" applyProtection="1">
      <alignment horizontal="center"/>
      <protection hidden="1"/>
    </xf>
    <xf numFmtId="0" fontId="0" fillId="0" borderId="7" xfId="0" applyBorder="1" applyAlignment="1" applyProtection="1">
      <alignment horizontal="center"/>
      <protection hidden="1"/>
    </xf>
    <xf numFmtId="0" fontId="0" fillId="0" borderId="1" xfId="0" quotePrefix="1" applyBorder="1" applyAlignment="1" applyProtection="1">
      <alignment horizontal="center" vertical="center"/>
      <protection locked="0"/>
    </xf>
    <xf numFmtId="0" fontId="2" fillId="0" borderId="21" xfId="0" applyFont="1" applyBorder="1" applyAlignment="1" applyProtection="1">
      <alignment horizontal="center" vertical="center"/>
      <protection hidden="1"/>
    </xf>
    <xf numFmtId="0" fontId="1" fillId="0" borderId="78" xfId="0" applyFont="1" applyBorder="1" applyAlignment="1" applyProtection="1">
      <alignment horizontal="center"/>
      <protection hidden="1"/>
    </xf>
    <xf numFmtId="0" fontId="1" fillId="0" borderId="77" xfId="0" applyFont="1" applyBorder="1" applyAlignment="1" applyProtection="1">
      <alignment horizontal="center"/>
      <protection hidden="1"/>
    </xf>
    <xf numFmtId="0" fontId="1" fillId="0" borderId="79" xfId="0" applyFont="1" applyBorder="1" applyAlignment="1" applyProtection="1">
      <alignment horizontal="center"/>
      <protection hidden="1"/>
    </xf>
    <xf numFmtId="0" fontId="0" fillId="0" borderId="3" xfId="0" applyBorder="1" applyAlignment="1" applyProtection="1">
      <alignment horizontal="center" vertical="center" wrapText="1"/>
      <protection locked="0" hidden="1"/>
    </xf>
    <xf numFmtId="0" fontId="0" fillId="0" borderId="4" xfId="0" applyBorder="1" applyAlignment="1" applyProtection="1">
      <alignment horizontal="center" vertical="center" wrapText="1"/>
      <protection locked="0"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hidden="1"/>
    </xf>
    <xf numFmtId="0" fontId="0" fillId="0" borderId="1" xfId="0" applyBorder="1" applyAlignment="1" applyProtection="1">
      <alignment horizontal="center" vertical="center" wrapText="1"/>
      <protection locked="0" hidden="1"/>
    </xf>
    <xf numFmtId="0" fontId="0" fillId="0" borderId="1"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1" fillId="0" borderId="57"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hidden="1"/>
    </xf>
    <xf numFmtId="0" fontId="1" fillId="0" borderId="50"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1" fillId="0" borderId="16"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1" fillId="0" borderId="37" xfId="0" applyFont="1" applyBorder="1" applyAlignment="1" applyProtection="1">
      <alignment horizontal="center" vertical="center" wrapText="1"/>
      <protection hidden="1"/>
    </xf>
    <xf numFmtId="0" fontId="1" fillId="0" borderId="34" xfId="0" applyFont="1" applyBorder="1" applyAlignment="1" applyProtection="1">
      <alignment horizontal="center" vertical="center" wrapText="1"/>
      <protection hidden="1"/>
    </xf>
    <xf numFmtId="0" fontId="1" fillId="0" borderId="23"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30"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 fillId="0" borderId="17" xfId="0" applyFont="1" applyBorder="1" applyAlignment="1" applyProtection="1">
      <alignment horizontal="center" vertical="center" wrapText="1"/>
      <protection hidden="1"/>
    </xf>
    <xf numFmtId="0" fontId="1" fillId="0" borderId="7" xfId="0" applyFont="1" applyBorder="1" applyAlignment="1" applyProtection="1">
      <alignment horizontal="center" vertical="center" wrapText="1"/>
      <protection hidden="1"/>
    </xf>
    <xf numFmtId="0" fontId="0" fillId="0" borderId="16"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6"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1" xfId="0" quotePrefix="1" applyBorder="1" applyAlignment="1" applyProtection="1">
      <alignment horizontal="center" vertical="center" wrapText="1"/>
      <protection locked="0"/>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24" xfId="0" applyBorder="1" applyAlignment="1" applyProtection="1">
      <alignment horizontal="center"/>
    </xf>
    <xf numFmtId="0" fontId="0" fillId="0" borderId="4" xfId="0" applyBorder="1" applyAlignment="1" applyProtection="1">
      <alignment horizontal="center"/>
    </xf>
    <xf numFmtId="0" fontId="0" fillId="0" borderId="37" xfId="0" applyBorder="1" applyAlignment="1" applyProtection="1">
      <alignment horizontal="center" vertical="top" wrapText="1"/>
      <protection locked="0"/>
    </xf>
    <xf numFmtId="0" fontId="0" fillId="0" borderId="34" xfId="0" applyBorder="1" applyAlignment="1" applyProtection="1">
      <alignment horizontal="center" vertical="top" wrapText="1"/>
      <protection locked="0"/>
    </xf>
    <xf numFmtId="0" fontId="0" fillId="0" borderId="43"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4" xfId="0" applyBorder="1" applyAlignment="1" applyProtection="1">
      <alignment horizontal="center" vertical="top" wrapText="1"/>
      <protection locked="0"/>
    </xf>
    <xf numFmtId="0" fontId="0" fillId="0" borderId="39" xfId="0" applyBorder="1" applyAlignment="1" applyProtection="1">
      <alignment horizontal="center" vertical="top" wrapText="1"/>
      <protection locked="0"/>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7" xfId="0" applyFont="1" applyBorder="1" applyAlignment="1" applyProtection="1">
      <alignment horizontal="center" vertical="center"/>
    </xf>
    <xf numFmtId="0" fontId="1" fillId="0" borderId="1" xfId="0" applyFont="1" applyBorder="1" applyAlignment="1" applyProtection="1">
      <alignment horizontal="center"/>
    </xf>
    <xf numFmtId="0" fontId="1" fillId="0" borderId="17" xfId="0" applyFont="1" applyBorder="1" applyAlignment="1" applyProtection="1">
      <alignment horizontal="center"/>
    </xf>
    <xf numFmtId="0" fontId="1" fillId="0" borderId="16" xfId="0" applyFont="1" applyBorder="1" applyAlignment="1" applyProtection="1">
      <alignment horizontal="center"/>
    </xf>
    <xf numFmtId="0" fontId="0" fillId="0" borderId="39" xfId="0" applyBorder="1" applyAlignment="1" applyProtection="1">
      <alignment horizontal="center"/>
      <protection hidden="1"/>
    </xf>
    <xf numFmtId="0" fontId="0" fillId="0" borderId="4" xfId="0" applyBorder="1" applyAlignment="1" applyProtection="1">
      <alignment horizontal="center"/>
      <protection locked="0" hidden="1"/>
    </xf>
    <xf numFmtId="0" fontId="0" fillId="0" borderId="5" xfId="0" applyBorder="1" applyAlignment="1" applyProtection="1">
      <alignment horizontal="center"/>
      <protection locked="0" hidden="1"/>
    </xf>
    <xf numFmtId="0" fontId="0" fillId="0" borderId="1" xfId="0" applyBorder="1" applyAlignment="1" applyProtection="1">
      <alignment horizontal="center"/>
      <protection locked="0" hidden="1"/>
    </xf>
    <xf numFmtId="0" fontId="1" fillId="0" borderId="17" xfId="0" applyFont="1" applyBorder="1" applyAlignment="1" applyProtection="1">
      <alignment horizontal="center"/>
      <protection hidden="1"/>
    </xf>
    <xf numFmtId="0" fontId="1" fillId="0" borderId="18" xfId="0" applyFont="1" applyBorder="1" applyAlignment="1" applyProtection="1">
      <alignment horizontal="center"/>
      <protection hidden="1"/>
    </xf>
    <xf numFmtId="0" fontId="0" fillId="0" borderId="41" xfId="0" applyBorder="1" applyAlignment="1" applyProtection="1">
      <alignment horizontal="center"/>
      <protection hidden="1"/>
    </xf>
    <xf numFmtId="0" fontId="1" fillId="0" borderId="0" xfId="0" applyFont="1" applyBorder="1" applyAlignment="1" applyProtection="1">
      <alignment horizontal="center" vertical="center"/>
      <protection hidden="1"/>
    </xf>
    <xf numFmtId="0" fontId="1" fillId="0" borderId="12" xfId="0" applyFont="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0" fontId="1" fillId="0" borderId="39" xfId="0" applyFont="1" applyBorder="1" applyAlignment="1" applyProtection="1">
      <alignment horizontal="center" vertical="center"/>
      <protection hidden="1"/>
    </xf>
    <xf numFmtId="0" fontId="1" fillId="0" borderId="57"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40" xfId="0" applyFont="1" applyBorder="1" applyAlignment="1" applyProtection="1">
      <alignment horizontal="center" vertical="center"/>
      <protection hidden="1"/>
    </xf>
    <xf numFmtId="0" fontId="1" fillId="0" borderId="44" xfId="0" applyFont="1" applyBorder="1" applyAlignment="1" applyProtection="1">
      <alignment horizontal="center" vertical="center"/>
      <protection hidden="1"/>
    </xf>
    <xf numFmtId="0" fontId="1" fillId="0" borderId="45" xfId="0" applyFont="1" applyBorder="1" applyAlignment="1" applyProtection="1">
      <alignment horizontal="center" vertical="center"/>
      <protection hidden="1"/>
    </xf>
    <xf numFmtId="0" fontId="1" fillId="0" borderId="35" xfId="0" applyFont="1" applyBorder="1" applyAlignment="1" applyProtection="1">
      <alignment horizontal="center" vertical="center"/>
      <protection hidden="1"/>
    </xf>
    <xf numFmtId="0" fontId="0" fillId="0" borderId="68" xfId="0" applyBorder="1" applyAlignment="1" applyProtection="1">
      <alignment horizontal="center"/>
      <protection locked="0" hidden="1"/>
    </xf>
    <xf numFmtId="0" fontId="0" fillId="0" borderId="44" xfId="0" applyBorder="1" applyAlignment="1" applyProtection="1">
      <alignment horizontal="center"/>
      <protection locked="0" hidden="1"/>
    </xf>
    <xf numFmtId="0" fontId="1" fillId="0" borderId="22" xfId="0" applyFont="1" applyBorder="1" applyAlignment="1" applyProtection="1">
      <alignment horizontal="center"/>
      <protection hidden="1"/>
    </xf>
    <xf numFmtId="0" fontId="1" fillId="0" borderId="33" xfId="0" applyFont="1" applyBorder="1" applyAlignment="1" applyProtection="1">
      <alignment horizontal="center"/>
      <protection locked="0" hidden="1"/>
    </xf>
    <xf numFmtId="0" fontId="1" fillId="0" borderId="32" xfId="0" applyFont="1" applyBorder="1" applyAlignment="1" applyProtection="1">
      <alignment horizontal="center"/>
      <protection locked="0" hidden="1"/>
    </xf>
    <xf numFmtId="0" fontId="1" fillId="0" borderId="22" xfId="0" applyFont="1" applyBorder="1" applyAlignment="1" applyProtection="1">
      <alignment horizontal="center"/>
      <protection locked="0" hidden="1"/>
    </xf>
    <xf numFmtId="0" fontId="0" fillId="10" borderId="1" xfId="0" applyFill="1" applyBorder="1" applyAlignment="1" applyProtection="1">
      <alignment horizontal="center"/>
      <protection hidden="1"/>
    </xf>
    <xf numFmtId="0" fontId="0" fillId="10" borderId="17" xfId="0" applyFill="1" applyBorder="1" applyAlignment="1" applyProtection="1">
      <alignment horizontal="center"/>
      <protection hidden="1"/>
    </xf>
    <xf numFmtId="0" fontId="0" fillId="0" borderId="17" xfId="0" applyBorder="1" applyAlignment="1" applyProtection="1">
      <alignment horizontal="center"/>
      <protection hidden="1"/>
    </xf>
    <xf numFmtId="0" fontId="0" fillId="0" borderId="23" xfId="0" applyBorder="1" applyAlignment="1" applyProtection="1">
      <alignment horizontal="center"/>
      <protection locked="0"/>
    </xf>
    <xf numFmtId="0" fontId="0" fillId="0" borderId="27" xfId="0" applyBorder="1" applyAlignment="1" applyProtection="1">
      <alignment horizontal="center"/>
      <protection locked="0"/>
    </xf>
    <xf numFmtId="0" fontId="1" fillId="0" borderId="52" xfId="0" applyFont="1" applyBorder="1" applyAlignment="1" applyProtection="1">
      <alignment horizontal="center" vertical="center"/>
      <protection hidden="1"/>
    </xf>
    <xf numFmtId="0" fontId="1" fillId="0" borderId="51" xfId="0" applyFont="1"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51"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1" fillId="0" borderId="33" xfId="0" applyFont="1" applyBorder="1" applyAlignment="1" applyProtection="1">
      <alignment horizontal="center"/>
      <protection hidden="1"/>
    </xf>
    <xf numFmtId="0" fontId="1" fillId="0" borderId="32" xfId="0" applyFont="1" applyBorder="1" applyAlignment="1" applyProtection="1">
      <alignment horizontal="center"/>
      <protection hidden="1"/>
    </xf>
    <xf numFmtId="0" fontId="1" fillId="0" borderId="20" xfId="0" applyFont="1" applyBorder="1" applyAlignment="1" applyProtection="1">
      <alignment horizontal="center"/>
      <protection hidden="1"/>
    </xf>
    <xf numFmtId="0" fontId="1" fillId="0" borderId="21" xfId="0" applyFont="1" applyBorder="1" applyAlignment="1" applyProtection="1">
      <alignment horizontal="center"/>
      <protection hidden="1"/>
    </xf>
    <xf numFmtId="0" fontId="1" fillId="0" borderId="15" xfId="0" applyFont="1" applyBorder="1" applyAlignment="1" applyProtection="1">
      <alignment horizontal="center"/>
      <protection hidden="1"/>
    </xf>
    <xf numFmtId="0" fontId="0" fillId="0" borderId="33" xfId="0" applyBorder="1" applyAlignment="1" applyProtection="1">
      <alignment horizontal="center"/>
      <protection locked="0" hidden="1"/>
    </xf>
    <xf numFmtId="0" fontId="0" fillId="0" borderId="32" xfId="0" applyBorder="1" applyAlignment="1" applyProtection="1">
      <alignment horizontal="center"/>
      <protection locked="0" hidden="1"/>
    </xf>
    <xf numFmtId="0" fontId="0" fillId="0" borderId="22" xfId="0" applyBorder="1" applyAlignment="1" applyProtection="1">
      <alignment horizontal="center"/>
      <protection locked="0" hidden="1"/>
    </xf>
    <xf numFmtId="0" fontId="0" fillId="0" borderId="23"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1" xfId="0" applyFont="1" applyBorder="1" applyAlignment="1" applyProtection="1">
      <alignment horizontal="center"/>
      <protection hidden="1"/>
    </xf>
    <xf numFmtId="0" fontId="0" fillId="0" borderId="22" xfId="0" applyFont="1" applyBorder="1" applyAlignment="1" applyProtection="1">
      <alignment horizontal="center"/>
      <protection hidden="1"/>
    </xf>
    <xf numFmtId="0" fontId="0" fillId="0" borderId="17" xfId="0" applyFont="1" applyBorder="1" applyAlignment="1" applyProtection="1">
      <alignment horizontal="center"/>
      <protection hidden="1"/>
    </xf>
    <xf numFmtId="0" fontId="0" fillId="0" borderId="5" xfId="0" applyBorder="1" applyAlignment="1" applyProtection="1">
      <alignment horizontal="center" vertical="center"/>
      <protection hidden="1"/>
    </xf>
    <xf numFmtId="0" fontId="1" fillId="0" borderId="23" xfId="0" applyFont="1" applyBorder="1" applyAlignment="1" applyProtection="1">
      <alignment horizontal="center"/>
      <protection hidden="1"/>
    </xf>
    <xf numFmtId="0" fontId="0" fillId="0" borderId="27" xfId="0" applyBorder="1" applyAlignment="1" applyProtection="1">
      <alignment horizontal="center"/>
      <protection hidden="1"/>
    </xf>
    <xf numFmtId="0" fontId="0" fillId="0" borderId="8" xfId="0" applyBorder="1" applyAlignment="1" applyProtection="1">
      <alignment horizontal="center"/>
      <protection hidden="1"/>
    </xf>
    <xf numFmtId="0" fontId="0" fillId="0" borderId="9" xfId="0" applyBorder="1" applyAlignment="1" applyProtection="1">
      <alignment horizontal="center"/>
      <protection hidden="1"/>
    </xf>
    <xf numFmtId="0" fontId="0" fillId="0" borderId="10" xfId="0" applyBorder="1" applyAlignment="1" applyProtection="1">
      <alignment horizontal="center"/>
      <protection hidden="1"/>
    </xf>
    <xf numFmtId="0" fontId="1" fillId="0" borderId="1" xfId="0" applyFont="1" applyBorder="1" applyAlignment="1" applyProtection="1">
      <alignment horizontal="center" vertical="top" textRotation="180"/>
      <protection hidden="1"/>
    </xf>
    <xf numFmtId="0" fontId="1" fillId="0" borderId="2" xfId="0" applyFont="1" applyBorder="1" applyAlignment="1" applyProtection="1">
      <alignment horizontal="center" vertical="top" textRotation="180"/>
      <protection hidden="1"/>
    </xf>
    <xf numFmtId="0" fontId="0" fillId="0" borderId="25" xfId="0" applyBorder="1" applyAlignment="1" applyProtection="1">
      <alignment horizontal="center"/>
      <protection hidden="1"/>
    </xf>
    <xf numFmtId="0" fontId="0" fillId="0" borderId="19" xfId="0" applyBorder="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44" xfId="0" applyBorder="1" applyAlignment="1" applyProtection="1">
      <alignment horizontal="center" vertical="center" wrapText="1"/>
      <protection hidden="1"/>
    </xf>
    <xf numFmtId="0" fontId="0" fillId="0" borderId="19" xfId="0" applyBorder="1" applyAlignment="1" applyProtection="1">
      <alignment horizontal="center"/>
      <protection hidden="1"/>
    </xf>
    <xf numFmtId="0" fontId="0" fillId="0" borderId="35" xfId="0" applyBorder="1" applyAlignment="1" applyProtection="1">
      <alignment horizontal="center"/>
      <protection hidden="1"/>
    </xf>
    <xf numFmtId="0" fontId="0" fillId="0" borderId="5"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1" fillId="0" borderId="63" xfId="0" applyFont="1" applyBorder="1" applyAlignment="1" applyProtection="1">
      <alignment horizontal="center"/>
      <protection hidden="1"/>
    </xf>
    <xf numFmtId="0" fontId="1" fillId="0" borderId="69" xfId="0" applyFont="1" applyBorder="1" applyAlignment="1" applyProtection="1">
      <alignment horizontal="center"/>
      <protection hidden="1"/>
    </xf>
    <xf numFmtId="0" fontId="1" fillId="0" borderId="66" xfId="0" applyFont="1" applyBorder="1" applyAlignment="1" applyProtection="1">
      <alignment horizontal="center"/>
      <protection hidden="1"/>
    </xf>
    <xf numFmtId="0" fontId="1" fillId="0" borderId="13" xfId="0" applyFont="1" applyBorder="1" applyAlignment="1" applyProtection="1">
      <alignment horizontal="center"/>
      <protection hidden="1"/>
    </xf>
    <xf numFmtId="0" fontId="1" fillId="0" borderId="14" xfId="0" applyFont="1" applyBorder="1" applyAlignment="1" applyProtection="1">
      <alignment horizontal="center"/>
      <protection hidden="1"/>
    </xf>
    <xf numFmtId="0" fontId="1" fillId="0" borderId="39" xfId="0" applyFont="1" applyBorder="1" applyAlignment="1" applyProtection="1">
      <alignment horizontal="center"/>
      <protection hidden="1"/>
    </xf>
    <xf numFmtId="0" fontId="0" fillId="0" borderId="36" xfId="0" applyBorder="1" applyAlignment="1" applyProtection="1">
      <alignment horizontal="center"/>
      <protection hidden="1"/>
    </xf>
    <xf numFmtId="0" fontId="0" fillId="0" borderId="46" xfId="0" applyBorder="1" applyAlignment="1" applyProtection="1">
      <alignment horizontal="center"/>
      <protection hidden="1"/>
    </xf>
    <xf numFmtId="0" fontId="0" fillId="0" borderId="2" xfId="0" applyBorder="1" applyAlignment="1" applyProtection="1">
      <alignment horizontal="center"/>
      <protection locked="0" hidden="1"/>
    </xf>
    <xf numFmtId="0" fontId="0" fillId="0" borderId="7" xfId="0" applyBorder="1" applyAlignment="1" applyProtection="1">
      <alignment horizontal="center"/>
      <protection locked="0" hidden="1"/>
    </xf>
    <xf numFmtId="0" fontId="0" fillId="0" borderId="33" xfId="0" applyBorder="1" applyAlignment="1" applyProtection="1">
      <alignment horizontal="center"/>
      <protection hidden="1"/>
    </xf>
    <xf numFmtId="0" fontId="0" fillId="0" borderId="34" xfId="0" applyBorder="1" applyAlignment="1" applyProtection="1">
      <alignment horizontal="center"/>
      <protection hidden="1"/>
    </xf>
    <xf numFmtId="0" fontId="0" fillId="0" borderId="43" xfId="0" applyBorder="1" applyAlignment="1" applyProtection="1">
      <alignment horizontal="center"/>
      <protection hidden="1"/>
    </xf>
    <xf numFmtId="0" fontId="0" fillId="0" borderId="48" xfId="0" applyBorder="1" applyAlignment="1" applyProtection="1">
      <alignment horizontal="center"/>
      <protection hidden="1"/>
    </xf>
    <xf numFmtId="0" fontId="0" fillId="0" borderId="29" xfId="0" applyBorder="1" applyAlignment="1" applyProtection="1">
      <alignment horizontal="center"/>
      <protection hidden="1"/>
    </xf>
    <xf numFmtId="0" fontId="0" fillId="0" borderId="31" xfId="0" applyBorder="1" applyAlignment="1" applyProtection="1">
      <alignment horizontal="center"/>
      <protection hidden="1"/>
    </xf>
    <xf numFmtId="0" fontId="0" fillId="0" borderId="44" xfId="0" applyBorder="1" applyAlignment="1" applyProtection="1">
      <alignment horizontal="center"/>
      <protection hidden="1"/>
    </xf>
    <xf numFmtId="0" fontId="0" fillId="0" borderId="0" xfId="0" applyAlignment="1" applyProtection="1">
      <alignment horizontal="center"/>
      <protection hidden="1"/>
    </xf>
    <xf numFmtId="0" fontId="0" fillId="0" borderId="16" xfId="0" applyBorder="1" applyAlignment="1" applyProtection="1">
      <alignment horizontal="center" vertical="center"/>
      <protection hidden="1"/>
    </xf>
    <xf numFmtId="0" fontId="0" fillId="0" borderId="3" xfId="0" applyBorder="1" applyAlignment="1" applyProtection="1">
      <alignment horizontal="center" vertical="center" wrapText="1"/>
      <protection hidden="1"/>
    </xf>
    <xf numFmtId="0" fontId="0" fillId="0" borderId="6"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0" fontId="0" fillId="0" borderId="6" xfId="0" applyFont="1" applyBorder="1" applyAlignment="1" applyProtection="1">
      <alignment horizontal="center" vertical="center"/>
      <protection hidden="1"/>
    </xf>
    <xf numFmtId="0" fontId="0" fillId="0" borderId="2"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1" fillId="0" borderId="26" xfId="0" applyFont="1" applyBorder="1" applyAlignment="1" applyProtection="1">
      <alignment horizontal="center" vertical="center"/>
      <protection hidden="1"/>
    </xf>
    <xf numFmtId="0" fontId="1" fillId="0" borderId="20" xfId="0" applyFont="1"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28" xfId="0" applyFont="1" applyBorder="1" applyAlignment="1" applyProtection="1">
      <alignment horizontal="center" vertical="center"/>
      <protection hidden="1"/>
    </xf>
    <xf numFmtId="0" fontId="0" fillId="0" borderId="15" xfId="0" applyFont="1" applyBorder="1" applyAlignment="1" applyProtection="1">
      <alignment horizontal="center" vertical="center"/>
      <protection hidden="1"/>
    </xf>
    <xf numFmtId="0" fontId="1" fillId="0" borderId="23" xfId="0" applyFont="1" applyBorder="1" applyAlignment="1" applyProtection="1">
      <alignment horizontal="center" vertical="center"/>
      <protection hidden="1"/>
    </xf>
    <xf numFmtId="0" fontId="8" fillId="0" borderId="0" xfId="0"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0" fontId="8" fillId="0" borderId="13" xfId="0" applyFont="1" applyBorder="1" applyAlignment="1" applyProtection="1">
      <alignment horizontal="center" vertical="center" wrapText="1"/>
      <protection hidden="1"/>
    </xf>
    <xf numFmtId="0" fontId="8" fillId="0" borderId="14" xfId="0" applyFont="1" applyBorder="1" applyAlignment="1" applyProtection="1">
      <alignment horizontal="center" vertical="center" wrapText="1"/>
      <protection hidden="1"/>
    </xf>
    <xf numFmtId="0" fontId="0" fillId="0" borderId="17" xfId="0" applyFont="1" applyBorder="1" applyAlignment="1" applyProtection="1">
      <alignment horizontal="center" vertical="center"/>
      <protection hidden="1"/>
    </xf>
    <xf numFmtId="0" fontId="0" fillId="0" borderId="7" xfId="0" applyFont="1" applyBorder="1" applyAlignment="1" applyProtection="1">
      <alignment horizontal="center" vertical="center"/>
      <protection hidden="1"/>
    </xf>
    <xf numFmtId="0" fontId="2" fillId="0" borderId="23" xfId="0" applyFont="1" applyBorder="1" applyAlignment="1" applyProtection="1">
      <alignment horizontal="center" vertical="center"/>
      <protection hidden="1"/>
    </xf>
    <xf numFmtId="0" fontId="0" fillId="13" borderId="16" xfId="0" applyFill="1" applyBorder="1" applyAlignment="1" applyProtection="1">
      <alignment horizontal="center" vertical="center"/>
      <protection hidden="1"/>
    </xf>
    <xf numFmtId="0" fontId="0" fillId="13" borderId="1" xfId="0" applyFill="1" applyBorder="1" applyAlignment="1" applyProtection="1">
      <alignment horizontal="center" vertical="center"/>
      <protection hidden="1"/>
    </xf>
    <xf numFmtId="0" fontId="0" fillId="13" borderId="17" xfId="0" applyFill="1" applyBorder="1" applyAlignment="1" applyProtection="1">
      <alignment horizontal="center" vertical="center"/>
      <protection hidden="1"/>
    </xf>
    <xf numFmtId="0" fontId="1" fillId="0" borderId="49" xfId="0" applyFont="1" applyBorder="1" applyAlignment="1" applyProtection="1">
      <alignment horizontal="center" vertical="center"/>
      <protection hidden="1"/>
    </xf>
    <xf numFmtId="0" fontId="1" fillId="0" borderId="21" xfId="0" applyFont="1" applyBorder="1" applyAlignment="1" applyProtection="1">
      <alignment horizontal="center" vertical="center"/>
      <protection hidden="1"/>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39" xfId="0" applyBorder="1" applyAlignment="1" applyProtection="1">
      <alignment horizontal="center"/>
      <protection locked="0"/>
    </xf>
    <xf numFmtId="0" fontId="0" fillId="10" borderId="16" xfId="0" applyFill="1" applyBorder="1" applyAlignment="1" applyProtection="1">
      <alignment horizontal="center" vertical="center"/>
      <protection hidden="1"/>
    </xf>
    <xf numFmtId="0" fontId="0" fillId="10" borderId="1" xfId="0" applyFill="1" applyBorder="1" applyAlignment="1" applyProtection="1">
      <alignment horizontal="center" vertical="center"/>
      <protection hidden="1"/>
    </xf>
    <xf numFmtId="0" fontId="0" fillId="10" borderId="17" xfId="0" applyFill="1" applyBorder="1" applyAlignment="1" applyProtection="1">
      <alignment horizontal="center" vertical="center"/>
      <protection hidden="1"/>
    </xf>
    <xf numFmtId="0" fontId="0" fillId="10" borderId="18" xfId="0" applyFill="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1" fillId="0" borderId="8" xfId="0" applyFont="1" applyBorder="1" applyAlignment="1" applyProtection="1">
      <alignment horizontal="center" vertical="center" wrapText="1"/>
      <protection hidden="1"/>
    </xf>
    <xf numFmtId="0" fontId="1" fillId="0" borderId="13" xfId="0" applyFont="1" applyBorder="1" applyAlignment="1" applyProtection="1">
      <alignment horizontal="center" vertical="center" wrapText="1"/>
      <protection hidden="1"/>
    </xf>
    <xf numFmtId="0" fontId="1" fillId="0" borderId="14" xfId="0" applyFont="1" applyBorder="1" applyAlignment="1" applyProtection="1">
      <alignment horizontal="center" vertical="center" wrapText="1"/>
      <protection hidden="1"/>
    </xf>
    <xf numFmtId="0" fontId="1" fillId="0" borderId="39" xfId="0" applyFont="1" applyBorder="1" applyAlignment="1" applyProtection="1">
      <alignment horizontal="center" vertical="center" wrapText="1"/>
      <protection hidden="1"/>
    </xf>
    <xf numFmtId="0" fontId="0" fillId="10" borderId="22" xfId="0" applyFill="1" applyBorder="1" applyAlignment="1" applyProtection="1">
      <alignment horizontal="center" vertical="center"/>
      <protection hidden="1"/>
    </xf>
    <xf numFmtId="0" fontId="1" fillId="0" borderId="16" xfId="0" applyFont="1" applyBorder="1" applyAlignment="1" applyProtection="1">
      <alignment horizontal="center" vertical="center"/>
      <protection locked="0" hidden="1"/>
    </xf>
    <xf numFmtId="0" fontId="1" fillId="0" borderId="1" xfId="0" applyFont="1" applyBorder="1" applyAlignment="1" applyProtection="1">
      <alignment horizontal="center" vertical="center"/>
      <protection locked="0" hidden="1"/>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hidden="1"/>
    </xf>
    <xf numFmtId="0" fontId="0" fillId="0" borderId="15"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1" fillId="0" borderId="6" xfId="0" applyFont="1" applyBorder="1" applyAlignment="1" applyProtection="1">
      <alignment horizontal="center" vertical="center"/>
      <protection locked="0" hidden="1"/>
    </xf>
    <xf numFmtId="0" fontId="1" fillId="0" borderId="2" xfId="0" applyFont="1" applyBorder="1" applyAlignment="1" applyProtection="1">
      <alignment horizontal="center" vertical="center"/>
      <protection locked="0" hidden="1"/>
    </xf>
    <xf numFmtId="0" fontId="0" fillId="0" borderId="22" xfId="0" applyBorder="1" applyAlignment="1" applyProtection="1">
      <alignment horizontal="center" vertical="center"/>
      <protection locked="0"/>
    </xf>
    <xf numFmtId="0" fontId="0" fillId="0" borderId="29" xfId="0" applyBorder="1" applyAlignment="1" applyProtection="1">
      <alignment horizontal="center" vertical="center"/>
      <protection hidden="1"/>
    </xf>
    <xf numFmtId="0" fontId="1" fillId="0" borderId="1" xfId="0" applyFont="1" applyBorder="1" applyAlignment="1" applyProtection="1">
      <alignment horizontal="center" vertical="center" textRotation="180"/>
      <protection hidden="1"/>
    </xf>
    <xf numFmtId="0" fontId="1" fillId="0" borderId="2" xfId="0" applyFont="1" applyBorder="1" applyAlignment="1" applyProtection="1">
      <alignment horizontal="center" vertical="center" textRotation="180"/>
      <protection hidden="1"/>
    </xf>
    <xf numFmtId="0" fontId="0" fillId="0" borderId="7" xfId="0" applyBorder="1" applyAlignment="1" applyProtection="1">
      <alignment horizontal="center" vertical="center" wrapText="1"/>
      <protection hidden="1"/>
    </xf>
    <xf numFmtId="0" fontId="0" fillId="0" borderId="61" xfId="0" applyBorder="1" applyAlignment="1" applyProtection="1">
      <alignment horizontal="center" vertical="center"/>
      <protection hidden="1"/>
    </xf>
    <xf numFmtId="0" fontId="0" fillId="0" borderId="62" xfId="0" applyBorder="1" applyAlignment="1" applyProtection="1">
      <alignment horizontal="center" vertical="center"/>
      <protection hidden="1"/>
    </xf>
    <xf numFmtId="0" fontId="0" fillId="0" borderId="28"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1" fillId="0" borderId="5" xfId="0" applyFont="1" applyFill="1" applyBorder="1" applyAlignment="1" applyProtection="1">
      <alignment horizontal="center" vertical="center"/>
      <protection hidden="1"/>
    </xf>
    <xf numFmtId="0" fontId="1" fillId="0" borderId="38" xfId="0" applyFont="1" applyFill="1" applyBorder="1" applyAlignment="1" applyProtection="1">
      <alignment horizontal="center" vertical="center"/>
      <protection hidden="1"/>
    </xf>
    <xf numFmtId="0" fontId="13" fillId="0" borderId="1" xfId="0" applyFont="1" applyBorder="1" applyAlignment="1">
      <alignment horizontal="center" vertical="top" wrapText="1"/>
    </xf>
    <xf numFmtId="0" fontId="14" fillId="0" borderId="1" xfId="0" applyFont="1" applyBorder="1" applyAlignment="1">
      <alignment horizontal="center" vertical="top" wrapText="1"/>
    </xf>
  </cellXfs>
  <cellStyles count="5">
    <cellStyle name="Good" xfId="1" builtinId="26"/>
    <cellStyle name="Input" xfId="3" builtinId="20"/>
    <cellStyle name="Neutral" xfId="2" builtinId="28"/>
    <cellStyle name="Normal" xfId="0" builtinId="0"/>
    <cellStyle name="Note" xfId="4" builtinId="10"/>
  </cellStyles>
  <dxfs count="1006">
    <dxf>
      <fill>
        <patternFill>
          <bgColor theme="0" tint="-0.14996795556505021"/>
        </patternFill>
      </fill>
    </dxf>
    <dxf>
      <fill>
        <patternFill>
          <bgColor rgb="FF00B0F0"/>
        </patternFill>
      </fill>
    </dxf>
    <dxf>
      <fill>
        <patternFill>
          <bgColor theme="0" tint="-0.24994659260841701"/>
        </patternFill>
      </fill>
    </dxf>
    <dxf>
      <fill>
        <patternFill>
          <bgColor rgb="FF00B0F0"/>
        </patternFill>
      </fill>
    </dxf>
    <dxf>
      <fill>
        <patternFill>
          <bgColor rgb="FF00B050"/>
        </patternFill>
      </fill>
    </dxf>
    <dxf>
      <fill>
        <patternFill>
          <bgColor rgb="FFFF0000"/>
        </patternFill>
      </fill>
    </dxf>
    <dxf>
      <fill>
        <patternFill>
          <bgColor theme="0" tint="-0.2499465926084170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F0"/>
        </patternFill>
      </fill>
    </dxf>
    <dxf>
      <fill>
        <patternFill>
          <bgColor theme="0"/>
        </patternFill>
      </fill>
    </dxf>
    <dxf>
      <fill>
        <patternFill>
          <bgColor rgb="FFFF0000"/>
        </patternFill>
      </fill>
    </dxf>
    <dxf>
      <fill>
        <patternFill>
          <bgColor rgb="FF00B0F0"/>
        </patternFill>
      </fill>
    </dxf>
    <dxf>
      <fill>
        <patternFill>
          <bgColor theme="0"/>
        </patternFill>
      </fill>
    </dxf>
    <dxf>
      <fill>
        <patternFill>
          <bgColor rgb="FFFF0000"/>
        </patternFill>
      </fill>
    </dxf>
    <dxf>
      <fill>
        <patternFill>
          <bgColor rgb="FF00B0F0"/>
        </patternFill>
      </fill>
    </dxf>
    <dxf>
      <fill>
        <patternFill>
          <bgColor theme="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F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theme="0"/>
        </patternFill>
      </fill>
    </dxf>
    <dxf>
      <fill>
        <patternFill>
          <bgColor theme="0" tint="-0.14996795556505021"/>
        </patternFill>
      </fill>
    </dxf>
    <dxf>
      <fill>
        <patternFill>
          <bgColor rgb="FF00B0F0"/>
        </patternFill>
      </fill>
    </dxf>
    <dxf>
      <fill>
        <patternFill>
          <bgColor theme="0" tint="-0.24994659260841701"/>
        </patternFill>
      </fill>
    </dxf>
    <dxf>
      <fill>
        <patternFill>
          <bgColor rgb="FF00B0F0"/>
        </patternFill>
      </fill>
    </dxf>
    <dxf>
      <fill>
        <patternFill>
          <bgColor rgb="FF00B050"/>
        </patternFill>
      </fill>
    </dxf>
    <dxf>
      <fill>
        <patternFill>
          <bgColor rgb="FFFF0000"/>
        </patternFill>
      </fill>
    </dxf>
    <dxf>
      <fill>
        <patternFill>
          <bgColor theme="0" tint="-0.2499465926084170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F0"/>
        </patternFill>
      </fill>
    </dxf>
    <dxf>
      <fill>
        <patternFill>
          <bgColor theme="0"/>
        </patternFill>
      </fill>
    </dxf>
    <dxf>
      <fill>
        <patternFill>
          <bgColor rgb="FFFF0000"/>
        </patternFill>
      </fill>
    </dxf>
    <dxf>
      <fill>
        <patternFill>
          <bgColor rgb="FF00B0F0"/>
        </patternFill>
      </fill>
    </dxf>
    <dxf>
      <fill>
        <patternFill>
          <bgColor theme="0"/>
        </patternFill>
      </fill>
    </dxf>
    <dxf>
      <fill>
        <patternFill>
          <bgColor rgb="FFFF0000"/>
        </patternFill>
      </fill>
    </dxf>
    <dxf>
      <fill>
        <patternFill>
          <bgColor rgb="FF00B0F0"/>
        </patternFill>
      </fill>
    </dxf>
    <dxf>
      <fill>
        <patternFill>
          <bgColor theme="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F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theme="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0000"/>
        </patternFill>
      </fill>
    </dxf>
    <dxf>
      <fill>
        <patternFill>
          <bgColor rgb="FF00B0F0"/>
        </patternFill>
      </fill>
    </dxf>
    <dxf>
      <fill>
        <patternFill>
          <bgColor rgb="FF00B050"/>
        </patternFill>
      </fill>
    </dxf>
    <dxf>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00B05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50"/>
        </patternFill>
      </fill>
    </dxf>
    <dxf>
      <fill>
        <patternFill>
          <bgColor rgb="FF00B0F0"/>
        </patternFill>
      </fill>
    </dxf>
    <dxf>
      <fill>
        <patternFill>
          <bgColor theme="0"/>
        </patternFill>
      </fill>
    </dxf>
    <dxf>
      <fill>
        <patternFill>
          <bgColor rgb="FFFF0000"/>
        </patternFill>
      </fill>
    </dxf>
    <dxf>
      <fill>
        <patternFill>
          <bgColor theme="0"/>
        </patternFill>
      </fill>
    </dxf>
    <dxf>
      <fill>
        <patternFill>
          <bgColor rgb="FF00B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X105"/>
  <sheetViews>
    <sheetView zoomScaleNormal="100" workbookViewId="0">
      <selection activeCell="AA13" sqref="AA13"/>
    </sheetView>
  </sheetViews>
  <sheetFormatPr defaultRowHeight="15" x14ac:dyDescent="0.25"/>
  <cols>
    <col min="1" max="23" width="3.7109375" style="191" customWidth="1"/>
    <col min="24" max="24" width="3.85546875" style="191" customWidth="1"/>
    <col min="25" max="16384" width="9.140625" style="190"/>
  </cols>
  <sheetData>
    <row r="1" spans="1:24" ht="15" customHeight="1" x14ac:dyDescent="0.25">
      <c r="A1" s="302" t="s">
        <v>1776</v>
      </c>
      <c r="B1" s="303"/>
      <c r="C1" s="303"/>
      <c r="D1" s="303"/>
      <c r="E1" s="303"/>
      <c r="F1" s="303"/>
      <c r="G1" s="303"/>
      <c r="H1" s="303"/>
      <c r="I1" s="303"/>
      <c r="J1" s="303"/>
      <c r="K1" s="303"/>
      <c r="L1" s="303"/>
      <c r="M1" s="303"/>
      <c r="N1" s="303"/>
      <c r="O1" s="303"/>
      <c r="P1" s="303"/>
      <c r="Q1" s="303"/>
      <c r="R1" s="303"/>
      <c r="S1" s="303"/>
      <c r="T1" s="303"/>
      <c r="U1" s="303"/>
      <c r="V1" s="303"/>
      <c r="W1" s="303"/>
      <c r="X1" s="304"/>
    </row>
    <row r="2" spans="1:24" ht="15.75" customHeight="1" thickBot="1" x14ac:dyDescent="0.3">
      <c r="A2" s="305"/>
      <c r="B2" s="306"/>
      <c r="C2" s="306"/>
      <c r="D2" s="306"/>
      <c r="E2" s="306"/>
      <c r="F2" s="306"/>
      <c r="G2" s="306"/>
      <c r="H2" s="306"/>
      <c r="I2" s="306"/>
      <c r="J2" s="306"/>
      <c r="K2" s="306"/>
      <c r="L2" s="306"/>
      <c r="M2" s="306"/>
      <c r="N2" s="306"/>
      <c r="O2" s="306"/>
      <c r="P2" s="306"/>
      <c r="Q2" s="306"/>
      <c r="R2" s="306"/>
      <c r="S2" s="306"/>
      <c r="T2" s="306"/>
      <c r="U2" s="306"/>
      <c r="V2" s="306"/>
      <c r="W2" s="306"/>
      <c r="X2" s="307"/>
    </row>
    <row r="3" spans="1:24" ht="15" customHeight="1" x14ac:dyDescent="0.25">
      <c r="A3" s="293" t="s">
        <v>1818</v>
      </c>
      <c r="B3" s="294"/>
      <c r="C3" s="294"/>
      <c r="D3" s="294"/>
      <c r="E3" s="294"/>
      <c r="F3" s="294"/>
      <c r="G3" s="294"/>
      <c r="H3" s="294"/>
      <c r="I3" s="294"/>
      <c r="J3" s="294"/>
      <c r="K3" s="294"/>
      <c r="L3" s="294"/>
      <c r="M3" s="294"/>
      <c r="N3" s="294"/>
      <c r="O3" s="294"/>
      <c r="P3" s="294"/>
      <c r="Q3" s="294"/>
      <c r="R3" s="294"/>
      <c r="S3" s="294"/>
      <c r="T3" s="294"/>
      <c r="U3" s="294"/>
      <c r="V3" s="294"/>
      <c r="W3" s="294"/>
      <c r="X3" s="295"/>
    </row>
    <row r="4" spans="1:24" x14ac:dyDescent="0.25">
      <c r="A4" s="296"/>
      <c r="B4" s="297"/>
      <c r="C4" s="297"/>
      <c r="D4" s="297"/>
      <c r="E4" s="297"/>
      <c r="F4" s="297"/>
      <c r="G4" s="297"/>
      <c r="H4" s="297"/>
      <c r="I4" s="297"/>
      <c r="J4" s="297"/>
      <c r="K4" s="297"/>
      <c r="L4" s="297"/>
      <c r="M4" s="297"/>
      <c r="N4" s="297"/>
      <c r="O4" s="297"/>
      <c r="P4" s="297"/>
      <c r="Q4" s="297"/>
      <c r="R4" s="297"/>
      <c r="S4" s="297"/>
      <c r="T4" s="297"/>
      <c r="U4" s="297"/>
      <c r="V4" s="297"/>
      <c r="W4" s="297"/>
      <c r="X4" s="298"/>
    </row>
    <row r="5" spans="1:24" ht="15" customHeight="1" x14ac:dyDescent="0.25">
      <c r="A5" s="296"/>
      <c r="B5" s="297"/>
      <c r="C5" s="297"/>
      <c r="D5" s="297"/>
      <c r="E5" s="297"/>
      <c r="F5" s="297"/>
      <c r="G5" s="297"/>
      <c r="H5" s="297"/>
      <c r="I5" s="297"/>
      <c r="J5" s="297"/>
      <c r="K5" s="297"/>
      <c r="L5" s="297"/>
      <c r="M5" s="297"/>
      <c r="N5" s="297"/>
      <c r="O5" s="297"/>
      <c r="P5" s="297"/>
      <c r="Q5" s="297"/>
      <c r="R5" s="297"/>
      <c r="S5" s="297"/>
      <c r="T5" s="297"/>
      <c r="U5" s="297"/>
      <c r="V5" s="297"/>
      <c r="W5" s="297"/>
      <c r="X5" s="298"/>
    </row>
    <row r="6" spans="1:24" ht="15" customHeight="1" x14ac:dyDescent="0.25">
      <c r="A6" s="296"/>
      <c r="B6" s="297"/>
      <c r="C6" s="297"/>
      <c r="D6" s="297"/>
      <c r="E6" s="297"/>
      <c r="F6" s="297"/>
      <c r="G6" s="297"/>
      <c r="H6" s="297"/>
      <c r="I6" s="297"/>
      <c r="J6" s="297"/>
      <c r="K6" s="297"/>
      <c r="L6" s="297"/>
      <c r="M6" s="297"/>
      <c r="N6" s="297"/>
      <c r="O6" s="297"/>
      <c r="P6" s="297"/>
      <c r="Q6" s="297"/>
      <c r="R6" s="297"/>
      <c r="S6" s="297"/>
      <c r="T6" s="297"/>
      <c r="U6" s="297"/>
      <c r="V6" s="297"/>
      <c r="W6" s="297"/>
      <c r="X6" s="298"/>
    </row>
    <row r="7" spans="1:24" x14ac:dyDescent="0.25">
      <c r="A7" s="296"/>
      <c r="B7" s="297"/>
      <c r="C7" s="297"/>
      <c r="D7" s="297"/>
      <c r="E7" s="297"/>
      <c r="F7" s="297"/>
      <c r="G7" s="297"/>
      <c r="H7" s="297"/>
      <c r="I7" s="297"/>
      <c r="J7" s="297"/>
      <c r="K7" s="297"/>
      <c r="L7" s="297"/>
      <c r="M7" s="297"/>
      <c r="N7" s="297"/>
      <c r="O7" s="297"/>
      <c r="P7" s="297"/>
      <c r="Q7" s="297"/>
      <c r="R7" s="297"/>
      <c r="S7" s="297"/>
      <c r="T7" s="297"/>
      <c r="U7" s="297"/>
      <c r="V7" s="297"/>
      <c r="W7" s="297"/>
      <c r="X7" s="298"/>
    </row>
    <row r="8" spans="1:24" x14ac:dyDescent="0.25">
      <c r="A8" s="296"/>
      <c r="B8" s="297"/>
      <c r="C8" s="297"/>
      <c r="D8" s="297"/>
      <c r="E8" s="297"/>
      <c r="F8" s="297"/>
      <c r="G8" s="297"/>
      <c r="H8" s="297"/>
      <c r="I8" s="297"/>
      <c r="J8" s="297"/>
      <c r="K8" s="297"/>
      <c r="L8" s="297"/>
      <c r="M8" s="297"/>
      <c r="N8" s="297"/>
      <c r="O8" s="297"/>
      <c r="P8" s="297"/>
      <c r="Q8" s="297"/>
      <c r="R8" s="297"/>
      <c r="S8" s="297"/>
      <c r="T8" s="297"/>
      <c r="U8" s="297"/>
      <c r="V8" s="297"/>
      <c r="W8" s="297"/>
      <c r="X8" s="298"/>
    </row>
    <row r="9" spans="1:24" ht="15.75" thickBot="1" x14ac:dyDescent="0.3">
      <c r="A9" s="299"/>
      <c r="B9" s="300"/>
      <c r="C9" s="300"/>
      <c r="D9" s="300"/>
      <c r="E9" s="300"/>
      <c r="F9" s="300"/>
      <c r="G9" s="300"/>
      <c r="H9" s="300"/>
      <c r="I9" s="300"/>
      <c r="J9" s="300"/>
      <c r="K9" s="300"/>
      <c r="L9" s="300"/>
      <c r="M9" s="300"/>
      <c r="N9" s="300"/>
      <c r="O9" s="300"/>
      <c r="P9" s="300"/>
      <c r="Q9" s="300"/>
      <c r="R9" s="300"/>
      <c r="S9" s="300"/>
      <c r="T9" s="300"/>
      <c r="U9" s="300"/>
      <c r="V9" s="300"/>
      <c r="W9" s="300"/>
      <c r="X9" s="301"/>
    </row>
    <row r="10" spans="1:24" ht="15" customHeight="1" x14ac:dyDescent="0.25">
      <c r="A10" s="302" t="s">
        <v>454</v>
      </c>
      <c r="B10" s="303"/>
      <c r="C10" s="303"/>
      <c r="D10" s="303"/>
      <c r="E10" s="303"/>
      <c r="F10" s="303"/>
      <c r="G10" s="303"/>
      <c r="H10" s="303"/>
      <c r="I10" s="303"/>
      <c r="J10" s="303"/>
      <c r="K10" s="303"/>
      <c r="L10" s="303"/>
      <c r="M10" s="303"/>
      <c r="N10" s="303"/>
      <c r="O10" s="303"/>
      <c r="P10" s="303"/>
      <c r="Q10" s="303"/>
      <c r="R10" s="303"/>
      <c r="S10" s="303"/>
      <c r="T10" s="303"/>
      <c r="U10" s="303"/>
      <c r="V10" s="303"/>
      <c r="W10" s="303"/>
      <c r="X10" s="304"/>
    </row>
    <row r="11" spans="1:24" ht="15.75" customHeight="1" thickBot="1" x14ac:dyDescent="0.3">
      <c r="A11" s="305"/>
      <c r="B11" s="306"/>
      <c r="C11" s="306"/>
      <c r="D11" s="306"/>
      <c r="E11" s="306"/>
      <c r="F11" s="306"/>
      <c r="G11" s="306"/>
      <c r="H11" s="306"/>
      <c r="I11" s="306"/>
      <c r="J11" s="306"/>
      <c r="K11" s="306"/>
      <c r="L11" s="306"/>
      <c r="M11" s="306"/>
      <c r="N11" s="306"/>
      <c r="O11" s="306"/>
      <c r="P11" s="306"/>
      <c r="Q11" s="306"/>
      <c r="R11" s="306"/>
      <c r="S11" s="306"/>
      <c r="T11" s="306"/>
      <c r="U11" s="306"/>
      <c r="V11" s="306"/>
      <c r="W11" s="306"/>
      <c r="X11" s="307"/>
    </row>
    <row r="12" spans="1:24" ht="15" customHeight="1" x14ac:dyDescent="0.25">
      <c r="A12" s="293" t="s">
        <v>1819</v>
      </c>
      <c r="B12" s="294"/>
      <c r="C12" s="294"/>
      <c r="D12" s="294"/>
      <c r="E12" s="294"/>
      <c r="F12" s="294"/>
      <c r="G12" s="294"/>
      <c r="H12" s="294"/>
      <c r="I12" s="294"/>
      <c r="J12" s="294"/>
      <c r="K12" s="294"/>
      <c r="L12" s="294"/>
      <c r="M12" s="294"/>
      <c r="N12" s="294"/>
      <c r="O12" s="294"/>
      <c r="P12" s="294"/>
      <c r="Q12" s="294"/>
      <c r="R12" s="294"/>
      <c r="S12" s="294"/>
      <c r="T12" s="294"/>
      <c r="U12" s="294"/>
      <c r="V12" s="294"/>
      <c r="W12" s="294"/>
      <c r="X12" s="295"/>
    </row>
    <row r="13" spans="1:24" ht="15" customHeight="1" x14ac:dyDescent="0.25">
      <c r="A13" s="296"/>
      <c r="B13" s="297"/>
      <c r="C13" s="297"/>
      <c r="D13" s="297"/>
      <c r="E13" s="297"/>
      <c r="F13" s="297"/>
      <c r="G13" s="297"/>
      <c r="H13" s="297"/>
      <c r="I13" s="297"/>
      <c r="J13" s="297"/>
      <c r="K13" s="297"/>
      <c r="L13" s="297"/>
      <c r="M13" s="297"/>
      <c r="N13" s="297"/>
      <c r="O13" s="297"/>
      <c r="P13" s="297"/>
      <c r="Q13" s="297"/>
      <c r="R13" s="297"/>
      <c r="S13" s="297"/>
      <c r="T13" s="297"/>
      <c r="U13" s="297"/>
      <c r="V13" s="297"/>
      <c r="W13" s="297"/>
      <c r="X13" s="298"/>
    </row>
    <row r="14" spans="1:24" x14ac:dyDescent="0.25">
      <c r="A14" s="296"/>
      <c r="B14" s="297"/>
      <c r="C14" s="297"/>
      <c r="D14" s="297"/>
      <c r="E14" s="297"/>
      <c r="F14" s="297"/>
      <c r="G14" s="297"/>
      <c r="H14" s="297"/>
      <c r="I14" s="297"/>
      <c r="J14" s="297"/>
      <c r="K14" s="297"/>
      <c r="L14" s="297"/>
      <c r="M14" s="297"/>
      <c r="N14" s="297"/>
      <c r="O14" s="297"/>
      <c r="P14" s="297"/>
      <c r="Q14" s="297"/>
      <c r="R14" s="297"/>
      <c r="S14" s="297"/>
      <c r="T14" s="297"/>
      <c r="U14" s="297"/>
      <c r="V14" s="297"/>
      <c r="W14" s="297"/>
      <c r="X14" s="298"/>
    </row>
    <row r="15" spans="1:24" x14ac:dyDescent="0.25">
      <c r="A15" s="296"/>
      <c r="B15" s="297"/>
      <c r="C15" s="297"/>
      <c r="D15" s="297"/>
      <c r="E15" s="297"/>
      <c r="F15" s="297"/>
      <c r="G15" s="297"/>
      <c r="H15" s="297"/>
      <c r="I15" s="297"/>
      <c r="J15" s="297"/>
      <c r="K15" s="297"/>
      <c r="L15" s="297"/>
      <c r="M15" s="297"/>
      <c r="N15" s="297"/>
      <c r="O15" s="297"/>
      <c r="P15" s="297"/>
      <c r="Q15" s="297"/>
      <c r="R15" s="297"/>
      <c r="S15" s="297"/>
      <c r="T15" s="297"/>
      <c r="U15" s="297"/>
      <c r="V15" s="297"/>
      <c r="W15" s="297"/>
      <c r="X15" s="298"/>
    </row>
    <row r="16" spans="1:24" x14ac:dyDescent="0.25">
      <c r="A16" s="296"/>
      <c r="B16" s="297"/>
      <c r="C16" s="297"/>
      <c r="D16" s="297"/>
      <c r="E16" s="297"/>
      <c r="F16" s="297"/>
      <c r="G16" s="297"/>
      <c r="H16" s="297"/>
      <c r="I16" s="297"/>
      <c r="J16" s="297"/>
      <c r="K16" s="297"/>
      <c r="L16" s="297"/>
      <c r="M16" s="297"/>
      <c r="N16" s="297"/>
      <c r="O16" s="297"/>
      <c r="P16" s="297"/>
      <c r="Q16" s="297"/>
      <c r="R16" s="297"/>
      <c r="S16" s="297"/>
      <c r="T16" s="297"/>
      <c r="U16" s="297"/>
      <c r="V16" s="297"/>
      <c r="W16" s="297"/>
      <c r="X16" s="298"/>
    </row>
    <row r="17" spans="1:24" x14ac:dyDescent="0.25">
      <c r="A17" s="296"/>
      <c r="B17" s="297"/>
      <c r="C17" s="297"/>
      <c r="D17" s="297"/>
      <c r="E17" s="297"/>
      <c r="F17" s="297"/>
      <c r="G17" s="297"/>
      <c r="H17" s="297"/>
      <c r="I17" s="297"/>
      <c r="J17" s="297"/>
      <c r="K17" s="297"/>
      <c r="L17" s="297"/>
      <c r="M17" s="297"/>
      <c r="N17" s="297"/>
      <c r="O17" s="297"/>
      <c r="P17" s="297"/>
      <c r="Q17" s="297"/>
      <c r="R17" s="297"/>
      <c r="S17" s="297"/>
      <c r="T17" s="297"/>
      <c r="U17" s="297"/>
      <c r="V17" s="297"/>
      <c r="W17" s="297"/>
      <c r="X17" s="298"/>
    </row>
    <row r="18" spans="1:24" x14ac:dyDescent="0.25">
      <c r="A18" s="296"/>
      <c r="B18" s="297"/>
      <c r="C18" s="297"/>
      <c r="D18" s="297"/>
      <c r="E18" s="297"/>
      <c r="F18" s="297"/>
      <c r="G18" s="297"/>
      <c r="H18" s="297"/>
      <c r="I18" s="297"/>
      <c r="J18" s="297"/>
      <c r="K18" s="297"/>
      <c r="L18" s="297"/>
      <c r="M18" s="297"/>
      <c r="N18" s="297"/>
      <c r="O18" s="297"/>
      <c r="P18" s="297"/>
      <c r="Q18" s="297"/>
      <c r="R18" s="297"/>
      <c r="S18" s="297"/>
      <c r="T18" s="297"/>
      <c r="U18" s="297"/>
      <c r="V18" s="297"/>
      <c r="W18" s="297"/>
      <c r="X18" s="298"/>
    </row>
    <row r="19" spans="1:24" x14ac:dyDescent="0.25">
      <c r="A19" s="335" t="s">
        <v>1778</v>
      </c>
      <c r="B19" s="336"/>
      <c r="C19" s="336"/>
      <c r="D19" s="336"/>
      <c r="E19" s="336"/>
      <c r="F19" s="336"/>
      <c r="G19" s="336"/>
      <c r="H19" s="336"/>
      <c r="I19" s="336"/>
      <c r="J19" s="336"/>
      <c r="K19" s="336"/>
      <c r="L19" s="336"/>
      <c r="M19" s="336"/>
      <c r="N19" s="336"/>
      <c r="O19" s="336"/>
      <c r="P19" s="336"/>
      <c r="Q19" s="336"/>
      <c r="R19" s="336"/>
      <c r="S19" s="336"/>
      <c r="T19" s="336"/>
      <c r="U19" s="336"/>
      <c r="V19" s="336"/>
      <c r="W19" s="336"/>
      <c r="X19" s="337"/>
    </row>
    <row r="20" spans="1:24" ht="15" customHeight="1" x14ac:dyDescent="0.25">
      <c r="A20" s="332" t="s">
        <v>1820</v>
      </c>
      <c r="B20" s="333"/>
      <c r="C20" s="333"/>
      <c r="D20" s="333"/>
      <c r="E20" s="333"/>
      <c r="F20" s="333"/>
      <c r="G20" s="333"/>
      <c r="H20" s="333"/>
      <c r="I20" s="333"/>
      <c r="J20" s="333"/>
      <c r="K20" s="333"/>
      <c r="L20" s="333"/>
      <c r="M20" s="333"/>
      <c r="N20" s="333"/>
      <c r="O20" s="333"/>
      <c r="P20" s="333"/>
      <c r="Q20" s="333"/>
      <c r="R20" s="333"/>
      <c r="S20" s="333"/>
      <c r="T20" s="333"/>
      <c r="U20" s="333"/>
      <c r="V20" s="333"/>
      <c r="W20" s="333"/>
      <c r="X20" s="334"/>
    </row>
    <row r="21" spans="1:24" x14ac:dyDescent="0.25">
      <c r="A21" s="332"/>
      <c r="B21" s="333"/>
      <c r="C21" s="333"/>
      <c r="D21" s="333"/>
      <c r="E21" s="333"/>
      <c r="F21" s="333"/>
      <c r="G21" s="333"/>
      <c r="H21" s="333"/>
      <c r="I21" s="333"/>
      <c r="J21" s="333"/>
      <c r="K21" s="333"/>
      <c r="L21" s="333"/>
      <c r="M21" s="333"/>
      <c r="N21" s="333"/>
      <c r="O21" s="333"/>
      <c r="P21" s="333"/>
      <c r="Q21" s="333"/>
      <c r="R21" s="333"/>
      <c r="S21" s="333"/>
      <c r="T21" s="333"/>
      <c r="U21" s="333"/>
      <c r="V21" s="333"/>
      <c r="W21" s="333"/>
      <c r="X21" s="334"/>
    </row>
    <row r="22" spans="1:24" ht="15" customHeight="1" x14ac:dyDescent="0.25">
      <c r="A22" s="329" t="s">
        <v>1781</v>
      </c>
      <c r="B22" s="330"/>
      <c r="C22" s="330"/>
      <c r="D22" s="330"/>
      <c r="E22" s="330"/>
      <c r="F22" s="330"/>
      <c r="G22" s="330"/>
      <c r="H22" s="330"/>
      <c r="I22" s="330"/>
      <c r="J22" s="330"/>
      <c r="K22" s="330"/>
      <c r="L22" s="330"/>
      <c r="M22" s="330"/>
      <c r="N22" s="330"/>
      <c r="O22" s="330"/>
      <c r="P22" s="330"/>
      <c r="Q22" s="330"/>
      <c r="R22" s="330"/>
      <c r="S22" s="330"/>
      <c r="T22" s="330"/>
      <c r="U22" s="330"/>
      <c r="V22" s="330"/>
      <c r="W22" s="330"/>
      <c r="X22" s="331"/>
    </row>
    <row r="23" spans="1:24" x14ac:dyDescent="0.25">
      <c r="A23" s="329"/>
      <c r="B23" s="330"/>
      <c r="C23" s="330"/>
      <c r="D23" s="330"/>
      <c r="E23" s="330"/>
      <c r="F23" s="330"/>
      <c r="G23" s="330"/>
      <c r="H23" s="330"/>
      <c r="I23" s="330"/>
      <c r="J23" s="330"/>
      <c r="K23" s="330"/>
      <c r="L23" s="330"/>
      <c r="M23" s="330"/>
      <c r="N23" s="330"/>
      <c r="O23" s="330"/>
      <c r="P23" s="330"/>
      <c r="Q23" s="330"/>
      <c r="R23" s="330"/>
      <c r="S23" s="330"/>
      <c r="T23" s="330"/>
      <c r="U23" s="330"/>
      <c r="V23" s="330"/>
      <c r="W23" s="330"/>
      <c r="X23" s="331"/>
    </row>
    <row r="24" spans="1:24" ht="15" customHeight="1" x14ac:dyDescent="0.25">
      <c r="A24" s="326" t="s">
        <v>1821</v>
      </c>
      <c r="B24" s="327"/>
      <c r="C24" s="327"/>
      <c r="D24" s="327"/>
      <c r="E24" s="327"/>
      <c r="F24" s="327"/>
      <c r="G24" s="327"/>
      <c r="H24" s="327"/>
      <c r="I24" s="327"/>
      <c r="J24" s="327"/>
      <c r="K24" s="327"/>
      <c r="L24" s="327"/>
      <c r="M24" s="327"/>
      <c r="N24" s="327"/>
      <c r="O24" s="327"/>
      <c r="P24" s="327"/>
      <c r="Q24" s="327"/>
      <c r="R24" s="327"/>
      <c r="S24" s="327"/>
      <c r="T24" s="327"/>
      <c r="U24" s="327"/>
      <c r="V24" s="327"/>
      <c r="W24" s="327"/>
      <c r="X24" s="328"/>
    </row>
    <row r="25" spans="1:24" x14ac:dyDescent="0.2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8"/>
    </row>
    <row r="26" spans="1:24" x14ac:dyDescent="0.25">
      <c r="A26" s="326"/>
      <c r="B26" s="327"/>
      <c r="C26" s="327"/>
      <c r="D26" s="327"/>
      <c r="E26" s="327"/>
      <c r="F26" s="327"/>
      <c r="G26" s="327"/>
      <c r="H26" s="327"/>
      <c r="I26" s="327"/>
      <c r="J26" s="327"/>
      <c r="K26" s="327"/>
      <c r="L26" s="327"/>
      <c r="M26" s="327"/>
      <c r="N26" s="327"/>
      <c r="O26" s="327"/>
      <c r="P26" s="327"/>
      <c r="Q26" s="327"/>
      <c r="R26" s="327"/>
      <c r="S26" s="327"/>
      <c r="T26" s="327"/>
      <c r="U26" s="327"/>
      <c r="V26" s="327"/>
      <c r="W26" s="327"/>
      <c r="X26" s="328"/>
    </row>
    <row r="27" spans="1:24" x14ac:dyDescent="0.25">
      <c r="A27" s="323" t="s">
        <v>1779</v>
      </c>
      <c r="B27" s="324"/>
      <c r="C27" s="324"/>
      <c r="D27" s="324"/>
      <c r="E27" s="324"/>
      <c r="F27" s="324"/>
      <c r="G27" s="324"/>
      <c r="H27" s="324"/>
      <c r="I27" s="324"/>
      <c r="J27" s="324"/>
      <c r="K27" s="324"/>
      <c r="L27" s="324"/>
      <c r="M27" s="324"/>
      <c r="N27" s="324"/>
      <c r="O27" s="324"/>
      <c r="P27" s="324"/>
      <c r="Q27" s="324"/>
      <c r="R27" s="324"/>
      <c r="S27" s="324"/>
      <c r="T27" s="324"/>
      <c r="U27" s="324"/>
      <c r="V27" s="324"/>
      <c r="W27" s="324"/>
      <c r="X27" s="325"/>
    </row>
    <row r="28" spans="1:24" x14ac:dyDescent="0.25">
      <c r="A28" s="320" t="s">
        <v>1780</v>
      </c>
      <c r="B28" s="321"/>
      <c r="C28" s="321"/>
      <c r="D28" s="321"/>
      <c r="E28" s="321"/>
      <c r="F28" s="321"/>
      <c r="G28" s="321"/>
      <c r="H28" s="321"/>
      <c r="I28" s="321"/>
      <c r="J28" s="321"/>
      <c r="K28" s="321"/>
      <c r="L28" s="321"/>
      <c r="M28" s="321"/>
      <c r="N28" s="321"/>
      <c r="O28" s="321"/>
      <c r="P28" s="321"/>
      <c r="Q28" s="321"/>
      <c r="R28" s="321"/>
      <c r="S28" s="321"/>
      <c r="T28" s="321"/>
      <c r="U28" s="321"/>
      <c r="V28" s="321"/>
      <c r="W28" s="321"/>
      <c r="X28" s="322"/>
    </row>
    <row r="29" spans="1:24" ht="15" customHeight="1" x14ac:dyDescent="0.25">
      <c r="A29" s="338" t="s">
        <v>1822</v>
      </c>
      <c r="B29" s="339"/>
      <c r="C29" s="339"/>
      <c r="D29" s="339"/>
      <c r="E29" s="339"/>
      <c r="F29" s="339"/>
      <c r="G29" s="339"/>
      <c r="H29" s="339"/>
      <c r="I29" s="339"/>
      <c r="J29" s="339"/>
      <c r="K29" s="339"/>
      <c r="L29" s="339"/>
      <c r="M29" s="339"/>
      <c r="N29" s="339"/>
      <c r="O29" s="339"/>
      <c r="P29" s="339"/>
      <c r="Q29" s="339"/>
      <c r="R29" s="339"/>
      <c r="S29" s="339"/>
      <c r="T29" s="339"/>
      <c r="U29" s="339"/>
      <c r="V29" s="339"/>
      <c r="W29" s="339"/>
      <c r="X29" s="340"/>
    </row>
    <row r="30" spans="1:24" ht="15.75" thickBot="1" x14ac:dyDescent="0.3">
      <c r="A30" s="341"/>
      <c r="B30" s="342"/>
      <c r="C30" s="342"/>
      <c r="D30" s="342"/>
      <c r="E30" s="342"/>
      <c r="F30" s="342"/>
      <c r="G30" s="342"/>
      <c r="H30" s="342"/>
      <c r="I30" s="342"/>
      <c r="J30" s="342"/>
      <c r="K30" s="342"/>
      <c r="L30" s="342"/>
      <c r="M30" s="342"/>
      <c r="N30" s="342"/>
      <c r="O30" s="342"/>
      <c r="P30" s="342"/>
      <c r="Q30" s="342"/>
      <c r="R30" s="342"/>
      <c r="S30" s="342"/>
      <c r="T30" s="342"/>
      <c r="U30" s="342"/>
      <c r="V30" s="342"/>
      <c r="W30" s="342"/>
      <c r="X30" s="343"/>
    </row>
    <row r="31" spans="1:24" ht="15" customHeight="1" x14ac:dyDescent="0.25">
      <c r="A31" s="302" t="s">
        <v>1782</v>
      </c>
      <c r="B31" s="303"/>
      <c r="C31" s="303"/>
      <c r="D31" s="303"/>
      <c r="E31" s="303"/>
      <c r="F31" s="303"/>
      <c r="G31" s="303"/>
      <c r="H31" s="303"/>
      <c r="I31" s="303"/>
      <c r="J31" s="303"/>
      <c r="K31" s="303"/>
      <c r="L31" s="303"/>
      <c r="M31" s="303"/>
      <c r="N31" s="303"/>
      <c r="O31" s="303"/>
      <c r="P31" s="303"/>
      <c r="Q31" s="303"/>
      <c r="R31" s="303"/>
      <c r="S31" s="303"/>
      <c r="T31" s="303"/>
      <c r="U31" s="303"/>
      <c r="V31" s="303"/>
      <c r="W31" s="303"/>
      <c r="X31" s="304"/>
    </row>
    <row r="32" spans="1:24" ht="15.75" customHeight="1" thickBot="1" x14ac:dyDescent="0.3">
      <c r="A32" s="305"/>
      <c r="B32" s="306"/>
      <c r="C32" s="306"/>
      <c r="D32" s="306"/>
      <c r="E32" s="306"/>
      <c r="F32" s="306"/>
      <c r="G32" s="306"/>
      <c r="H32" s="306"/>
      <c r="I32" s="306"/>
      <c r="J32" s="306"/>
      <c r="K32" s="306"/>
      <c r="L32" s="306"/>
      <c r="M32" s="306"/>
      <c r="N32" s="306"/>
      <c r="O32" s="306"/>
      <c r="P32" s="306"/>
      <c r="Q32" s="306"/>
      <c r="R32" s="306"/>
      <c r="S32" s="306"/>
      <c r="T32" s="306"/>
      <c r="U32" s="306"/>
      <c r="V32" s="306"/>
      <c r="W32" s="306"/>
      <c r="X32" s="307"/>
    </row>
    <row r="33" spans="1:24" ht="15" customHeight="1" x14ac:dyDescent="0.25">
      <c r="A33" s="293" t="s">
        <v>1823</v>
      </c>
      <c r="B33" s="294"/>
      <c r="C33" s="294"/>
      <c r="D33" s="294"/>
      <c r="E33" s="294"/>
      <c r="F33" s="294"/>
      <c r="G33" s="294"/>
      <c r="H33" s="294"/>
      <c r="I33" s="294"/>
      <c r="J33" s="294"/>
      <c r="K33" s="294"/>
      <c r="L33" s="294"/>
      <c r="M33" s="294"/>
      <c r="N33" s="294"/>
      <c r="O33" s="294"/>
      <c r="P33" s="294"/>
      <c r="Q33" s="294"/>
      <c r="R33" s="294"/>
      <c r="S33" s="294"/>
      <c r="T33" s="294"/>
      <c r="U33" s="294"/>
      <c r="V33" s="294"/>
      <c r="W33" s="294"/>
      <c r="X33" s="295"/>
    </row>
    <row r="34" spans="1:24" x14ac:dyDescent="0.25">
      <c r="A34" s="296"/>
      <c r="B34" s="297"/>
      <c r="C34" s="297"/>
      <c r="D34" s="297"/>
      <c r="E34" s="297"/>
      <c r="F34" s="297"/>
      <c r="G34" s="297"/>
      <c r="H34" s="297"/>
      <c r="I34" s="297"/>
      <c r="J34" s="297"/>
      <c r="K34" s="297"/>
      <c r="L34" s="297"/>
      <c r="M34" s="297"/>
      <c r="N34" s="297"/>
      <c r="O34" s="297"/>
      <c r="P34" s="297"/>
      <c r="Q34" s="297"/>
      <c r="R34" s="297"/>
      <c r="S34" s="297"/>
      <c r="T34" s="297"/>
      <c r="U34" s="297"/>
      <c r="V34" s="297"/>
      <c r="W34" s="297"/>
      <c r="X34" s="298"/>
    </row>
    <row r="35" spans="1:24" x14ac:dyDescent="0.25">
      <c r="A35" s="296"/>
      <c r="B35" s="297"/>
      <c r="C35" s="297"/>
      <c r="D35" s="297"/>
      <c r="E35" s="297"/>
      <c r="F35" s="297"/>
      <c r="G35" s="297"/>
      <c r="H35" s="297"/>
      <c r="I35" s="297"/>
      <c r="J35" s="297"/>
      <c r="K35" s="297"/>
      <c r="L35" s="297"/>
      <c r="M35" s="297"/>
      <c r="N35" s="297"/>
      <c r="O35" s="297"/>
      <c r="P35" s="297"/>
      <c r="Q35" s="297"/>
      <c r="R35" s="297"/>
      <c r="S35" s="297"/>
      <c r="T35" s="297"/>
      <c r="U35" s="297"/>
      <c r="V35" s="297"/>
      <c r="W35" s="297"/>
      <c r="X35" s="298"/>
    </row>
    <row r="36" spans="1:24" x14ac:dyDescent="0.25">
      <c r="A36" s="296"/>
      <c r="B36" s="297"/>
      <c r="C36" s="297"/>
      <c r="D36" s="297"/>
      <c r="E36" s="297"/>
      <c r="F36" s="297"/>
      <c r="G36" s="297"/>
      <c r="H36" s="297"/>
      <c r="I36" s="297"/>
      <c r="J36" s="297"/>
      <c r="K36" s="297"/>
      <c r="L36" s="297"/>
      <c r="M36" s="297"/>
      <c r="N36" s="297"/>
      <c r="O36" s="297"/>
      <c r="P36" s="297"/>
      <c r="Q36" s="297"/>
      <c r="R36" s="297"/>
      <c r="S36" s="297"/>
      <c r="T36" s="297"/>
      <c r="U36" s="297"/>
      <c r="V36" s="297"/>
      <c r="W36" s="297"/>
      <c r="X36" s="298"/>
    </row>
    <row r="37" spans="1:24" x14ac:dyDescent="0.25">
      <c r="A37" s="296"/>
      <c r="B37" s="297"/>
      <c r="C37" s="297"/>
      <c r="D37" s="297"/>
      <c r="E37" s="297"/>
      <c r="F37" s="297"/>
      <c r="G37" s="297"/>
      <c r="H37" s="297"/>
      <c r="I37" s="297"/>
      <c r="J37" s="297"/>
      <c r="K37" s="297"/>
      <c r="L37" s="297"/>
      <c r="M37" s="297"/>
      <c r="N37" s="297"/>
      <c r="O37" s="297"/>
      <c r="P37" s="297"/>
      <c r="Q37" s="297"/>
      <c r="R37" s="297"/>
      <c r="S37" s="297"/>
      <c r="T37" s="297"/>
      <c r="U37" s="297"/>
      <c r="V37" s="297"/>
      <c r="W37" s="297"/>
      <c r="X37" s="298"/>
    </row>
    <row r="38" spans="1:24" ht="15" customHeight="1" x14ac:dyDescent="0.25">
      <c r="A38" s="296"/>
      <c r="B38" s="297"/>
      <c r="C38" s="297"/>
      <c r="D38" s="297"/>
      <c r="E38" s="297"/>
      <c r="F38" s="297"/>
      <c r="G38" s="297"/>
      <c r="H38" s="297"/>
      <c r="I38" s="297"/>
      <c r="J38" s="297"/>
      <c r="K38" s="297"/>
      <c r="L38" s="297"/>
      <c r="M38" s="297"/>
      <c r="N38" s="297"/>
      <c r="O38" s="297"/>
      <c r="P38" s="297"/>
      <c r="Q38" s="297"/>
      <c r="R38" s="297"/>
      <c r="S38" s="297"/>
      <c r="T38" s="297"/>
      <c r="U38" s="297"/>
      <c r="V38" s="297"/>
      <c r="W38" s="297"/>
      <c r="X38" s="298"/>
    </row>
    <row r="39" spans="1:24" x14ac:dyDescent="0.25">
      <c r="A39" s="296"/>
      <c r="B39" s="297"/>
      <c r="C39" s="297"/>
      <c r="D39" s="297"/>
      <c r="E39" s="297"/>
      <c r="F39" s="297"/>
      <c r="G39" s="297"/>
      <c r="H39" s="297"/>
      <c r="I39" s="297"/>
      <c r="J39" s="297"/>
      <c r="K39" s="297"/>
      <c r="L39" s="297"/>
      <c r="M39" s="297"/>
      <c r="N39" s="297"/>
      <c r="O39" s="297"/>
      <c r="P39" s="297"/>
      <c r="Q39" s="297"/>
      <c r="R39" s="297"/>
      <c r="S39" s="297"/>
      <c r="T39" s="297"/>
      <c r="U39" s="297"/>
      <c r="V39" s="297"/>
      <c r="W39" s="297"/>
      <c r="X39" s="298"/>
    </row>
    <row r="40" spans="1:24" ht="15" customHeight="1" x14ac:dyDescent="0.25">
      <c r="A40" s="296"/>
      <c r="B40" s="297"/>
      <c r="C40" s="297"/>
      <c r="D40" s="297"/>
      <c r="E40" s="297"/>
      <c r="F40" s="297"/>
      <c r="G40" s="297"/>
      <c r="H40" s="297"/>
      <c r="I40" s="297"/>
      <c r="J40" s="297"/>
      <c r="K40" s="297"/>
      <c r="L40" s="297"/>
      <c r="M40" s="297"/>
      <c r="N40" s="297"/>
      <c r="O40" s="297"/>
      <c r="P40" s="297"/>
      <c r="Q40" s="297"/>
      <c r="R40" s="297"/>
      <c r="S40" s="297"/>
      <c r="T40" s="297"/>
      <c r="U40" s="297"/>
      <c r="V40" s="297"/>
      <c r="W40" s="297"/>
      <c r="X40" s="298"/>
    </row>
    <row r="41" spans="1:24" ht="15" customHeight="1" x14ac:dyDescent="0.25">
      <c r="A41" s="296"/>
      <c r="B41" s="297"/>
      <c r="C41" s="297"/>
      <c r="D41" s="297"/>
      <c r="E41" s="297"/>
      <c r="F41" s="297"/>
      <c r="G41" s="297"/>
      <c r="H41" s="297"/>
      <c r="I41" s="297"/>
      <c r="J41" s="297"/>
      <c r="K41" s="297"/>
      <c r="L41" s="297"/>
      <c r="M41" s="297"/>
      <c r="N41" s="297"/>
      <c r="O41" s="297"/>
      <c r="P41" s="297"/>
      <c r="Q41" s="297"/>
      <c r="R41" s="297"/>
      <c r="S41" s="297"/>
      <c r="T41" s="297"/>
      <c r="U41" s="297"/>
      <c r="V41" s="297"/>
      <c r="W41" s="297"/>
      <c r="X41" s="298"/>
    </row>
    <row r="42" spans="1:24" x14ac:dyDescent="0.25">
      <c r="A42" s="296"/>
      <c r="B42" s="297"/>
      <c r="C42" s="297"/>
      <c r="D42" s="297"/>
      <c r="E42" s="297"/>
      <c r="F42" s="297"/>
      <c r="G42" s="297"/>
      <c r="H42" s="297"/>
      <c r="I42" s="297"/>
      <c r="J42" s="297"/>
      <c r="K42" s="297"/>
      <c r="L42" s="297"/>
      <c r="M42" s="297"/>
      <c r="N42" s="297"/>
      <c r="O42" s="297"/>
      <c r="P42" s="297"/>
      <c r="Q42" s="297"/>
      <c r="R42" s="297"/>
      <c r="S42" s="297"/>
      <c r="T42" s="297"/>
      <c r="U42" s="297"/>
      <c r="V42" s="297"/>
      <c r="W42" s="297"/>
      <c r="X42" s="298"/>
    </row>
    <row r="43" spans="1:24" x14ac:dyDescent="0.25">
      <c r="A43" s="296"/>
      <c r="B43" s="297"/>
      <c r="C43" s="297"/>
      <c r="D43" s="297"/>
      <c r="E43" s="297"/>
      <c r="F43" s="297"/>
      <c r="G43" s="297"/>
      <c r="H43" s="297"/>
      <c r="I43" s="297"/>
      <c r="J43" s="297"/>
      <c r="K43" s="297"/>
      <c r="L43" s="297"/>
      <c r="M43" s="297"/>
      <c r="N43" s="297"/>
      <c r="O43" s="297"/>
      <c r="P43" s="297"/>
      <c r="Q43" s="297"/>
      <c r="R43" s="297"/>
      <c r="S43" s="297"/>
      <c r="T43" s="297"/>
      <c r="U43" s="297"/>
      <c r="V43" s="297"/>
      <c r="W43" s="297"/>
      <c r="X43" s="298"/>
    </row>
    <row r="44" spans="1:24" x14ac:dyDescent="0.25">
      <c r="A44" s="296"/>
      <c r="B44" s="297"/>
      <c r="C44" s="297"/>
      <c r="D44" s="297"/>
      <c r="E44" s="297"/>
      <c r="F44" s="297"/>
      <c r="G44" s="297"/>
      <c r="H44" s="297"/>
      <c r="I44" s="297"/>
      <c r="J44" s="297"/>
      <c r="K44" s="297"/>
      <c r="L44" s="297"/>
      <c r="M44" s="297"/>
      <c r="N44" s="297"/>
      <c r="O44" s="297"/>
      <c r="P44" s="297"/>
      <c r="Q44" s="297"/>
      <c r="R44" s="297"/>
      <c r="S44" s="297"/>
      <c r="T44" s="297"/>
      <c r="U44" s="297"/>
      <c r="V44" s="297"/>
      <c r="W44" s="297"/>
      <c r="X44" s="298"/>
    </row>
    <row r="45" spans="1:24" x14ac:dyDescent="0.25">
      <c r="A45" s="296"/>
      <c r="B45" s="297"/>
      <c r="C45" s="297"/>
      <c r="D45" s="297"/>
      <c r="E45" s="297"/>
      <c r="F45" s="297"/>
      <c r="G45" s="297"/>
      <c r="H45" s="297"/>
      <c r="I45" s="297"/>
      <c r="J45" s="297"/>
      <c r="K45" s="297"/>
      <c r="L45" s="297"/>
      <c r="M45" s="297"/>
      <c r="N45" s="297"/>
      <c r="O45" s="297"/>
      <c r="P45" s="297"/>
      <c r="Q45" s="297"/>
      <c r="R45" s="297"/>
      <c r="S45" s="297"/>
      <c r="T45" s="297"/>
      <c r="U45" s="297"/>
      <c r="V45" s="297"/>
      <c r="W45" s="297"/>
      <c r="X45" s="298"/>
    </row>
    <row r="46" spans="1:24" x14ac:dyDescent="0.25">
      <c r="A46" s="296"/>
      <c r="B46" s="297"/>
      <c r="C46" s="297"/>
      <c r="D46" s="297"/>
      <c r="E46" s="297"/>
      <c r="F46" s="297"/>
      <c r="G46" s="297"/>
      <c r="H46" s="297"/>
      <c r="I46" s="297"/>
      <c r="J46" s="297"/>
      <c r="K46" s="297"/>
      <c r="L46" s="297"/>
      <c r="M46" s="297"/>
      <c r="N46" s="297"/>
      <c r="O46" s="297"/>
      <c r="P46" s="297"/>
      <c r="Q46" s="297"/>
      <c r="R46" s="297"/>
      <c r="S46" s="297"/>
      <c r="T46" s="297"/>
      <c r="U46" s="297"/>
      <c r="V46" s="297"/>
      <c r="W46" s="297"/>
      <c r="X46" s="298"/>
    </row>
    <row r="47" spans="1:24" x14ac:dyDescent="0.25">
      <c r="A47" s="296"/>
      <c r="B47" s="297"/>
      <c r="C47" s="297"/>
      <c r="D47" s="297"/>
      <c r="E47" s="297"/>
      <c r="F47" s="297"/>
      <c r="G47" s="297"/>
      <c r="H47" s="297"/>
      <c r="I47" s="297"/>
      <c r="J47" s="297"/>
      <c r="K47" s="297"/>
      <c r="L47" s="297"/>
      <c r="M47" s="297"/>
      <c r="N47" s="297"/>
      <c r="O47" s="297"/>
      <c r="P47" s="297"/>
      <c r="Q47" s="297"/>
      <c r="R47" s="297"/>
      <c r="S47" s="297"/>
      <c r="T47" s="297"/>
      <c r="U47" s="297"/>
      <c r="V47" s="297"/>
      <c r="W47" s="297"/>
      <c r="X47" s="298"/>
    </row>
    <row r="48" spans="1:24" ht="15.75" thickBot="1" x14ac:dyDescent="0.3">
      <c r="A48" s="299"/>
      <c r="B48" s="300"/>
      <c r="C48" s="300"/>
      <c r="D48" s="300"/>
      <c r="E48" s="300"/>
      <c r="F48" s="300"/>
      <c r="G48" s="300"/>
      <c r="H48" s="300"/>
      <c r="I48" s="300"/>
      <c r="J48" s="300"/>
      <c r="K48" s="300"/>
      <c r="L48" s="300"/>
      <c r="M48" s="300"/>
      <c r="N48" s="300"/>
      <c r="O48" s="300"/>
      <c r="P48" s="300"/>
      <c r="Q48" s="300"/>
      <c r="R48" s="300"/>
      <c r="S48" s="300"/>
      <c r="T48" s="300"/>
      <c r="U48" s="300"/>
      <c r="V48" s="300"/>
      <c r="W48" s="300"/>
      <c r="X48" s="301"/>
    </row>
    <row r="49" spans="1:24" ht="15" customHeight="1" x14ac:dyDescent="0.25">
      <c r="A49" s="302" t="s">
        <v>1784</v>
      </c>
      <c r="B49" s="303"/>
      <c r="C49" s="303"/>
      <c r="D49" s="303"/>
      <c r="E49" s="303"/>
      <c r="F49" s="303"/>
      <c r="G49" s="303"/>
      <c r="H49" s="303"/>
      <c r="I49" s="303"/>
      <c r="J49" s="303"/>
      <c r="K49" s="303"/>
      <c r="L49" s="303"/>
      <c r="M49" s="303"/>
      <c r="N49" s="303"/>
      <c r="O49" s="303"/>
      <c r="P49" s="303"/>
      <c r="Q49" s="303"/>
      <c r="R49" s="303"/>
      <c r="S49" s="303"/>
      <c r="T49" s="303"/>
      <c r="U49" s="303"/>
      <c r="V49" s="303"/>
      <c r="W49" s="303"/>
      <c r="X49" s="304"/>
    </row>
    <row r="50" spans="1:24" ht="15.75" customHeight="1" thickBot="1" x14ac:dyDescent="0.3">
      <c r="A50" s="305"/>
      <c r="B50" s="306"/>
      <c r="C50" s="306"/>
      <c r="D50" s="306"/>
      <c r="E50" s="306"/>
      <c r="F50" s="306"/>
      <c r="G50" s="306"/>
      <c r="H50" s="306"/>
      <c r="I50" s="306"/>
      <c r="J50" s="306"/>
      <c r="K50" s="306"/>
      <c r="L50" s="306"/>
      <c r="M50" s="306"/>
      <c r="N50" s="306"/>
      <c r="O50" s="306"/>
      <c r="P50" s="306"/>
      <c r="Q50" s="306"/>
      <c r="R50" s="306"/>
      <c r="S50" s="306"/>
      <c r="T50" s="306"/>
      <c r="U50" s="306"/>
      <c r="V50" s="306"/>
      <c r="W50" s="306"/>
      <c r="X50" s="307"/>
    </row>
    <row r="51" spans="1:24" ht="15" customHeight="1" x14ac:dyDescent="0.25">
      <c r="A51" s="293" t="s">
        <v>1824</v>
      </c>
      <c r="B51" s="294"/>
      <c r="C51" s="294"/>
      <c r="D51" s="294"/>
      <c r="E51" s="294"/>
      <c r="F51" s="294"/>
      <c r="G51" s="294"/>
      <c r="H51" s="294"/>
      <c r="I51" s="294"/>
      <c r="J51" s="294"/>
      <c r="K51" s="294"/>
      <c r="L51" s="294"/>
      <c r="M51" s="294"/>
      <c r="N51" s="294"/>
      <c r="O51" s="294"/>
      <c r="P51" s="294"/>
      <c r="Q51" s="294"/>
      <c r="R51" s="294"/>
      <c r="S51" s="294"/>
      <c r="T51" s="294"/>
      <c r="U51" s="294"/>
      <c r="V51" s="294"/>
      <c r="W51" s="294"/>
      <c r="X51" s="295"/>
    </row>
    <row r="52" spans="1:24" x14ac:dyDescent="0.25">
      <c r="A52" s="296"/>
      <c r="B52" s="297"/>
      <c r="C52" s="297"/>
      <c r="D52" s="297"/>
      <c r="E52" s="297"/>
      <c r="F52" s="297"/>
      <c r="G52" s="297"/>
      <c r="H52" s="297"/>
      <c r="I52" s="297"/>
      <c r="J52" s="297"/>
      <c r="K52" s="297"/>
      <c r="L52" s="297"/>
      <c r="M52" s="297"/>
      <c r="N52" s="297"/>
      <c r="O52" s="297"/>
      <c r="P52" s="297"/>
      <c r="Q52" s="297"/>
      <c r="R52" s="297"/>
      <c r="S52" s="297"/>
      <c r="T52" s="297"/>
      <c r="U52" s="297"/>
      <c r="V52" s="297"/>
      <c r="W52" s="297"/>
      <c r="X52" s="298"/>
    </row>
    <row r="53" spans="1:24" x14ac:dyDescent="0.25">
      <c r="A53" s="296"/>
      <c r="B53" s="297"/>
      <c r="C53" s="297"/>
      <c r="D53" s="297"/>
      <c r="E53" s="297"/>
      <c r="F53" s="297"/>
      <c r="G53" s="297"/>
      <c r="H53" s="297"/>
      <c r="I53" s="297"/>
      <c r="J53" s="297"/>
      <c r="K53" s="297"/>
      <c r="L53" s="297"/>
      <c r="M53" s="297"/>
      <c r="N53" s="297"/>
      <c r="O53" s="297"/>
      <c r="P53" s="297"/>
      <c r="Q53" s="297"/>
      <c r="R53" s="297"/>
      <c r="S53" s="297"/>
      <c r="T53" s="297"/>
      <c r="U53" s="297"/>
      <c r="V53" s="297"/>
      <c r="W53" s="297"/>
      <c r="X53" s="298"/>
    </row>
    <row r="54" spans="1:24" x14ac:dyDescent="0.25">
      <c r="A54" s="296"/>
      <c r="B54" s="297"/>
      <c r="C54" s="297"/>
      <c r="D54" s="297"/>
      <c r="E54" s="297"/>
      <c r="F54" s="297"/>
      <c r="G54" s="297"/>
      <c r="H54" s="297"/>
      <c r="I54" s="297"/>
      <c r="J54" s="297"/>
      <c r="K54" s="297"/>
      <c r="L54" s="297"/>
      <c r="M54" s="297"/>
      <c r="N54" s="297"/>
      <c r="O54" s="297"/>
      <c r="P54" s="297"/>
      <c r="Q54" s="297"/>
      <c r="R54" s="297"/>
      <c r="S54" s="297"/>
      <c r="T54" s="297"/>
      <c r="U54" s="297"/>
      <c r="V54" s="297"/>
      <c r="W54" s="297"/>
      <c r="X54" s="298"/>
    </row>
    <row r="55" spans="1:24" x14ac:dyDescent="0.25">
      <c r="A55" s="296"/>
      <c r="B55" s="297"/>
      <c r="C55" s="297"/>
      <c r="D55" s="297"/>
      <c r="E55" s="297"/>
      <c r="F55" s="297"/>
      <c r="G55" s="297"/>
      <c r="H55" s="297"/>
      <c r="I55" s="297"/>
      <c r="J55" s="297"/>
      <c r="K55" s="297"/>
      <c r="L55" s="297"/>
      <c r="M55" s="297"/>
      <c r="N55" s="297"/>
      <c r="O55" s="297"/>
      <c r="P55" s="297"/>
      <c r="Q55" s="297"/>
      <c r="R55" s="297"/>
      <c r="S55" s="297"/>
      <c r="T55" s="297"/>
      <c r="U55" s="297"/>
      <c r="V55" s="297"/>
      <c r="W55" s="297"/>
      <c r="X55" s="298"/>
    </row>
    <row r="56" spans="1:24" x14ac:dyDescent="0.25">
      <c r="A56" s="296"/>
      <c r="B56" s="297"/>
      <c r="C56" s="297"/>
      <c r="D56" s="297"/>
      <c r="E56" s="297"/>
      <c r="F56" s="297"/>
      <c r="G56" s="297"/>
      <c r="H56" s="297"/>
      <c r="I56" s="297"/>
      <c r="J56" s="297"/>
      <c r="K56" s="297"/>
      <c r="L56" s="297"/>
      <c r="M56" s="297"/>
      <c r="N56" s="297"/>
      <c r="O56" s="297"/>
      <c r="P56" s="297"/>
      <c r="Q56" s="297"/>
      <c r="R56" s="297"/>
      <c r="S56" s="297"/>
      <c r="T56" s="297"/>
      <c r="U56" s="297"/>
      <c r="V56" s="297"/>
      <c r="W56" s="297"/>
      <c r="X56" s="298"/>
    </row>
    <row r="57" spans="1:24" x14ac:dyDescent="0.25">
      <c r="A57" s="296"/>
      <c r="B57" s="297"/>
      <c r="C57" s="297"/>
      <c r="D57" s="297"/>
      <c r="E57" s="297"/>
      <c r="F57" s="297"/>
      <c r="G57" s="297"/>
      <c r="H57" s="297"/>
      <c r="I57" s="297"/>
      <c r="J57" s="297"/>
      <c r="K57" s="297"/>
      <c r="L57" s="297"/>
      <c r="M57" s="297"/>
      <c r="N57" s="297"/>
      <c r="O57" s="297"/>
      <c r="P57" s="297"/>
      <c r="Q57" s="297"/>
      <c r="R57" s="297"/>
      <c r="S57" s="297"/>
      <c r="T57" s="297"/>
      <c r="U57" s="297"/>
      <c r="V57" s="297"/>
      <c r="W57" s="297"/>
      <c r="X57" s="298"/>
    </row>
    <row r="58" spans="1:24" ht="15.75" thickBot="1" x14ac:dyDescent="0.3">
      <c r="A58" s="299"/>
      <c r="B58" s="300"/>
      <c r="C58" s="300"/>
      <c r="D58" s="300"/>
      <c r="E58" s="300"/>
      <c r="F58" s="300"/>
      <c r="G58" s="300"/>
      <c r="H58" s="300"/>
      <c r="I58" s="300"/>
      <c r="J58" s="300"/>
      <c r="K58" s="300"/>
      <c r="L58" s="300"/>
      <c r="M58" s="300"/>
      <c r="N58" s="300"/>
      <c r="O58" s="300"/>
      <c r="P58" s="300"/>
      <c r="Q58" s="300"/>
      <c r="R58" s="300"/>
      <c r="S58" s="300"/>
      <c r="T58" s="300"/>
      <c r="U58" s="300"/>
      <c r="V58" s="300"/>
      <c r="W58" s="300"/>
      <c r="X58" s="301"/>
    </row>
    <row r="59" spans="1:24" ht="15" customHeight="1" x14ac:dyDescent="0.25">
      <c r="A59" s="302" t="s">
        <v>1777</v>
      </c>
      <c r="B59" s="303"/>
      <c r="C59" s="303"/>
      <c r="D59" s="303"/>
      <c r="E59" s="303"/>
      <c r="F59" s="303"/>
      <c r="G59" s="303"/>
      <c r="H59" s="303"/>
      <c r="I59" s="303"/>
      <c r="J59" s="303"/>
      <c r="K59" s="303"/>
      <c r="L59" s="303"/>
      <c r="M59" s="303"/>
      <c r="N59" s="303"/>
      <c r="O59" s="303"/>
      <c r="P59" s="303"/>
      <c r="Q59" s="303"/>
      <c r="R59" s="303"/>
      <c r="S59" s="303"/>
      <c r="T59" s="303"/>
      <c r="U59" s="303"/>
      <c r="V59" s="303"/>
      <c r="W59" s="303"/>
      <c r="X59" s="304"/>
    </row>
    <row r="60" spans="1:24" ht="15.75" customHeight="1" thickBot="1" x14ac:dyDescent="0.3">
      <c r="A60" s="305"/>
      <c r="B60" s="306"/>
      <c r="C60" s="306"/>
      <c r="D60" s="306"/>
      <c r="E60" s="306"/>
      <c r="F60" s="306"/>
      <c r="G60" s="306"/>
      <c r="H60" s="306"/>
      <c r="I60" s="306"/>
      <c r="J60" s="306"/>
      <c r="K60" s="306"/>
      <c r="L60" s="306"/>
      <c r="M60" s="306"/>
      <c r="N60" s="306"/>
      <c r="O60" s="306"/>
      <c r="P60" s="306"/>
      <c r="Q60" s="306"/>
      <c r="R60" s="306"/>
      <c r="S60" s="306"/>
      <c r="T60" s="306"/>
      <c r="U60" s="306"/>
      <c r="V60" s="306"/>
      <c r="W60" s="306"/>
      <c r="X60" s="307"/>
    </row>
    <row r="61" spans="1:24" ht="15" customHeight="1" x14ac:dyDescent="0.25">
      <c r="A61" s="293" t="s">
        <v>1785</v>
      </c>
      <c r="B61" s="294"/>
      <c r="C61" s="294"/>
      <c r="D61" s="294"/>
      <c r="E61" s="294"/>
      <c r="F61" s="294"/>
      <c r="G61" s="294"/>
      <c r="H61" s="294"/>
      <c r="I61" s="294"/>
      <c r="J61" s="294"/>
      <c r="K61" s="294"/>
      <c r="L61" s="294"/>
      <c r="M61" s="294"/>
      <c r="N61" s="294"/>
      <c r="O61" s="294"/>
      <c r="P61" s="294"/>
      <c r="Q61" s="294"/>
      <c r="R61" s="294"/>
      <c r="S61" s="294"/>
      <c r="T61" s="294"/>
      <c r="U61" s="294"/>
      <c r="V61" s="294"/>
      <c r="W61" s="294"/>
      <c r="X61" s="295"/>
    </row>
    <row r="62" spans="1:24" x14ac:dyDescent="0.25">
      <c r="A62" s="311"/>
      <c r="B62" s="312"/>
      <c r="C62" s="312"/>
      <c r="D62" s="312"/>
      <c r="E62" s="312"/>
      <c r="F62" s="312"/>
      <c r="G62" s="312"/>
      <c r="H62" s="312"/>
      <c r="I62" s="312"/>
      <c r="J62" s="312"/>
      <c r="K62" s="312"/>
      <c r="L62" s="312"/>
      <c r="M62" s="312"/>
      <c r="N62" s="312"/>
      <c r="O62" s="312"/>
      <c r="P62" s="312"/>
      <c r="Q62" s="312"/>
      <c r="R62" s="312"/>
      <c r="S62" s="312"/>
      <c r="T62" s="312"/>
      <c r="U62" s="312"/>
      <c r="V62" s="312"/>
      <c r="W62" s="312"/>
      <c r="X62" s="313"/>
    </row>
    <row r="63" spans="1:24" x14ac:dyDescent="0.25">
      <c r="A63" s="314" t="s">
        <v>1786</v>
      </c>
      <c r="B63" s="315"/>
      <c r="C63" s="315"/>
      <c r="D63" s="315"/>
      <c r="E63" s="315"/>
      <c r="F63" s="315"/>
      <c r="G63" s="315"/>
      <c r="H63" s="315"/>
      <c r="I63" s="315"/>
      <c r="J63" s="315"/>
      <c r="K63" s="315"/>
      <c r="L63" s="315"/>
      <c r="M63" s="315"/>
      <c r="N63" s="315"/>
      <c r="O63" s="315"/>
      <c r="P63" s="315"/>
      <c r="Q63" s="315"/>
      <c r="R63" s="315"/>
      <c r="S63" s="315"/>
      <c r="T63" s="315"/>
      <c r="U63" s="315"/>
      <c r="V63" s="315"/>
      <c r="W63" s="315"/>
      <c r="X63" s="316"/>
    </row>
    <row r="64" spans="1:24" x14ac:dyDescent="0.25">
      <c r="A64" s="317" t="s">
        <v>1795</v>
      </c>
      <c r="B64" s="318"/>
      <c r="C64" s="318"/>
      <c r="D64" s="318"/>
      <c r="E64" s="318"/>
      <c r="F64" s="318"/>
      <c r="G64" s="318"/>
      <c r="H64" s="318"/>
      <c r="I64" s="318"/>
      <c r="J64" s="318"/>
      <c r="K64" s="318"/>
      <c r="L64" s="318"/>
      <c r="M64" s="318"/>
      <c r="N64" s="318"/>
      <c r="O64" s="318"/>
      <c r="P64" s="318"/>
      <c r="Q64" s="318"/>
      <c r="R64" s="318"/>
      <c r="S64" s="318"/>
      <c r="T64" s="318"/>
      <c r="U64" s="318"/>
      <c r="V64" s="318"/>
      <c r="W64" s="318"/>
      <c r="X64" s="319"/>
    </row>
    <row r="65" spans="1:24" x14ac:dyDescent="0.25">
      <c r="A65" s="314" t="s">
        <v>1787</v>
      </c>
      <c r="B65" s="315"/>
      <c r="C65" s="315"/>
      <c r="D65" s="315"/>
      <c r="E65" s="315"/>
      <c r="F65" s="315"/>
      <c r="G65" s="315"/>
      <c r="H65" s="315"/>
      <c r="I65" s="315"/>
      <c r="J65" s="315"/>
      <c r="K65" s="315"/>
      <c r="L65" s="315"/>
      <c r="M65" s="315"/>
      <c r="N65" s="315"/>
      <c r="O65" s="315"/>
      <c r="P65" s="315"/>
      <c r="Q65" s="315"/>
      <c r="R65" s="315"/>
      <c r="S65" s="315"/>
      <c r="T65" s="315"/>
      <c r="U65" s="315"/>
      <c r="V65" s="315"/>
      <c r="W65" s="315"/>
      <c r="X65" s="316"/>
    </row>
    <row r="66" spans="1:24" x14ac:dyDescent="0.25">
      <c r="A66" s="317" t="s">
        <v>1788</v>
      </c>
      <c r="B66" s="318"/>
      <c r="C66" s="318"/>
      <c r="D66" s="318"/>
      <c r="E66" s="318"/>
      <c r="F66" s="318"/>
      <c r="G66" s="318"/>
      <c r="H66" s="318"/>
      <c r="I66" s="318"/>
      <c r="J66" s="318"/>
      <c r="K66" s="318"/>
      <c r="L66" s="318"/>
      <c r="M66" s="318"/>
      <c r="N66" s="318"/>
      <c r="O66" s="318"/>
      <c r="P66" s="318"/>
      <c r="Q66" s="318"/>
      <c r="R66" s="318"/>
      <c r="S66" s="318"/>
      <c r="T66" s="318"/>
      <c r="U66" s="318"/>
      <c r="V66" s="318"/>
      <c r="W66" s="318"/>
      <c r="X66" s="319"/>
    </row>
    <row r="67" spans="1:24" x14ac:dyDescent="0.25">
      <c r="A67" s="314" t="s">
        <v>1789</v>
      </c>
      <c r="B67" s="315"/>
      <c r="C67" s="315"/>
      <c r="D67" s="315"/>
      <c r="E67" s="315"/>
      <c r="F67" s="315"/>
      <c r="G67" s="315"/>
      <c r="H67" s="315"/>
      <c r="I67" s="315"/>
      <c r="J67" s="315"/>
      <c r="K67" s="315"/>
      <c r="L67" s="315"/>
      <c r="M67" s="315"/>
      <c r="N67" s="315"/>
      <c r="O67" s="315"/>
      <c r="P67" s="315"/>
      <c r="Q67" s="315"/>
      <c r="R67" s="315"/>
      <c r="S67" s="315"/>
      <c r="T67" s="315"/>
      <c r="U67" s="315"/>
      <c r="V67" s="315"/>
      <c r="W67" s="315"/>
      <c r="X67" s="316"/>
    </row>
    <row r="68" spans="1:24" ht="15" customHeight="1" x14ac:dyDescent="0.25">
      <c r="A68" s="308" t="s">
        <v>1790</v>
      </c>
      <c r="B68" s="309"/>
      <c r="C68" s="309"/>
      <c r="D68" s="309"/>
      <c r="E68" s="309"/>
      <c r="F68" s="309"/>
      <c r="G68" s="309"/>
      <c r="H68" s="309"/>
      <c r="I68" s="309"/>
      <c r="J68" s="309"/>
      <c r="K68" s="309"/>
      <c r="L68" s="309"/>
      <c r="M68" s="309"/>
      <c r="N68" s="309"/>
      <c r="O68" s="309"/>
      <c r="P68" s="309"/>
      <c r="Q68" s="309"/>
      <c r="R68" s="309"/>
      <c r="S68" s="309"/>
      <c r="T68" s="309"/>
      <c r="U68" s="309"/>
      <c r="V68" s="309"/>
      <c r="W68" s="309"/>
      <c r="X68" s="310"/>
    </row>
    <row r="69" spans="1:24" x14ac:dyDescent="0.25">
      <c r="A69" s="311"/>
      <c r="B69" s="312"/>
      <c r="C69" s="312"/>
      <c r="D69" s="312"/>
      <c r="E69" s="312"/>
      <c r="F69" s="312"/>
      <c r="G69" s="312"/>
      <c r="H69" s="312"/>
      <c r="I69" s="312"/>
      <c r="J69" s="312"/>
      <c r="K69" s="312"/>
      <c r="L69" s="312"/>
      <c r="M69" s="312"/>
      <c r="N69" s="312"/>
      <c r="O69" s="312"/>
      <c r="P69" s="312"/>
      <c r="Q69" s="312"/>
      <c r="R69" s="312"/>
      <c r="S69" s="312"/>
      <c r="T69" s="312"/>
      <c r="U69" s="312"/>
      <c r="V69" s="312"/>
      <c r="W69" s="312"/>
      <c r="X69" s="313"/>
    </row>
    <row r="70" spans="1:24" x14ac:dyDescent="0.25">
      <c r="A70" s="314" t="s">
        <v>74</v>
      </c>
      <c r="B70" s="315"/>
      <c r="C70" s="315"/>
      <c r="D70" s="315"/>
      <c r="E70" s="315"/>
      <c r="F70" s="315"/>
      <c r="G70" s="315"/>
      <c r="H70" s="315"/>
      <c r="I70" s="315"/>
      <c r="J70" s="315"/>
      <c r="K70" s="315"/>
      <c r="L70" s="315"/>
      <c r="M70" s="315"/>
      <c r="N70" s="315"/>
      <c r="O70" s="315"/>
      <c r="P70" s="315"/>
      <c r="Q70" s="315"/>
      <c r="R70" s="315"/>
      <c r="S70" s="315"/>
      <c r="T70" s="315"/>
      <c r="U70" s="315"/>
      <c r="V70" s="315"/>
      <c r="W70" s="315"/>
      <c r="X70" s="316"/>
    </row>
    <row r="71" spans="1:24" ht="15" customHeight="1" x14ac:dyDescent="0.25">
      <c r="A71" s="308" t="s">
        <v>1826</v>
      </c>
      <c r="B71" s="309"/>
      <c r="C71" s="309"/>
      <c r="D71" s="309"/>
      <c r="E71" s="309"/>
      <c r="F71" s="309"/>
      <c r="G71" s="309"/>
      <c r="H71" s="309"/>
      <c r="I71" s="309"/>
      <c r="J71" s="309"/>
      <c r="K71" s="309"/>
      <c r="L71" s="309"/>
      <c r="M71" s="309"/>
      <c r="N71" s="309"/>
      <c r="O71" s="309"/>
      <c r="P71" s="309"/>
      <c r="Q71" s="309"/>
      <c r="R71" s="309"/>
      <c r="S71" s="309"/>
      <c r="T71" s="309"/>
      <c r="U71" s="309"/>
      <c r="V71" s="309"/>
      <c r="W71" s="309"/>
      <c r="X71" s="310"/>
    </row>
    <row r="72" spans="1:24" x14ac:dyDescent="0.25">
      <c r="A72" s="311"/>
      <c r="B72" s="312"/>
      <c r="C72" s="312"/>
      <c r="D72" s="312"/>
      <c r="E72" s="312"/>
      <c r="F72" s="312"/>
      <c r="G72" s="312"/>
      <c r="H72" s="312"/>
      <c r="I72" s="312"/>
      <c r="J72" s="312"/>
      <c r="K72" s="312"/>
      <c r="L72" s="312"/>
      <c r="M72" s="312"/>
      <c r="N72" s="312"/>
      <c r="O72" s="312"/>
      <c r="P72" s="312"/>
      <c r="Q72" s="312"/>
      <c r="R72" s="312"/>
      <c r="S72" s="312"/>
      <c r="T72" s="312"/>
      <c r="U72" s="312"/>
      <c r="V72" s="312"/>
      <c r="W72" s="312"/>
      <c r="X72" s="313"/>
    </row>
    <row r="73" spans="1:24" x14ac:dyDescent="0.25">
      <c r="A73" s="314" t="s">
        <v>1791</v>
      </c>
      <c r="B73" s="315"/>
      <c r="C73" s="315"/>
      <c r="D73" s="315"/>
      <c r="E73" s="315"/>
      <c r="F73" s="315"/>
      <c r="G73" s="315"/>
      <c r="H73" s="315"/>
      <c r="I73" s="315"/>
      <c r="J73" s="315"/>
      <c r="K73" s="315"/>
      <c r="L73" s="315"/>
      <c r="M73" s="315"/>
      <c r="N73" s="315"/>
      <c r="O73" s="315"/>
      <c r="P73" s="315"/>
      <c r="Q73" s="315"/>
      <c r="R73" s="315"/>
      <c r="S73" s="315"/>
      <c r="T73" s="315"/>
      <c r="U73" s="315"/>
      <c r="V73" s="315"/>
      <c r="W73" s="315"/>
      <c r="X73" s="316"/>
    </row>
    <row r="74" spans="1:24" ht="15" customHeight="1" x14ac:dyDescent="0.25">
      <c r="A74" s="308" t="s">
        <v>1827</v>
      </c>
      <c r="B74" s="309"/>
      <c r="C74" s="309"/>
      <c r="D74" s="309"/>
      <c r="E74" s="309"/>
      <c r="F74" s="309"/>
      <c r="G74" s="309"/>
      <c r="H74" s="309"/>
      <c r="I74" s="309"/>
      <c r="J74" s="309"/>
      <c r="K74" s="309"/>
      <c r="L74" s="309"/>
      <c r="M74" s="309"/>
      <c r="N74" s="309"/>
      <c r="O74" s="309"/>
      <c r="P74" s="309"/>
      <c r="Q74" s="309"/>
      <c r="R74" s="309"/>
      <c r="S74" s="309"/>
      <c r="T74" s="309"/>
      <c r="U74" s="309"/>
      <c r="V74" s="309"/>
      <c r="W74" s="309"/>
      <c r="X74" s="310"/>
    </row>
    <row r="75" spans="1:24" ht="15" customHeight="1" x14ac:dyDescent="0.25">
      <c r="A75" s="296"/>
      <c r="B75" s="297"/>
      <c r="C75" s="297"/>
      <c r="D75" s="297"/>
      <c r="E75" s="297"/>
      <c r="F75" s="297"/>
      <c r="G75" s="297"/>
      <c r="H75" s="297"/>
      <c r="I75" s="297"/>
      <c r="J75" s="297"/>
      <c r="K75" s="297"/>
      <c r="L75" s="297"/>
      <c r="M75" s="297"/>
      <c r="N75" s="297"/>
      <c r="O75" s="297"/>
      <c r="P75" s="297"/>
      <c r="Q75" s="297"/>
      <c r="R75" s="297"/>
      <c r="S75" s="297"/>
      <c r="T75" s="297"/>
      <c r="U75" s="297"/>
      <c r="V75" s="297"/>
      <c r="W75" s="297"/>
      <c r="X75" s="298"/>
    </row>
    <row r="76" spans="1:24" ht="15" customHeight="1" thickBot="1" x14ac:dyDescent="0.3">
      <c r="A76" s="299"/>
      <c r="B76" s="300"/>
      <c r="C76" s="300"/>
      <c r="D76" s="300"/>
      <c r="E76" s="300"/>
      <c r="F76" s="300"/>
      <c r="G76" s="300"/>
      <c r="H76" s="300"/>
      <c r="I76" s="300"/>
      <c r="J76" s="300"/>
      <c r="K76" s="300"/>
      <c r="L76" s="300"/>
      <c r="M76" s="300"/>
      <c r="N76" s="300"/>
      <c r="O76" s="300"/>
      <c r="P76" s="300"/>
      <c r="Q76" s="300"/>
      <c r="R76" s="300"/>
      <c r="S76" s="300"/>
      <c r="T76" s="300"/>
      <c r="U76" s="300"/>
      <c r="V76" s="300"/>
      <c r="W76" s="300"/>
      <c r="X76" s="301"/>
    </row>
    <row r="77" spans="1:24" ht="15" customHeight="1" x14ac:dyDescent="0.25">
      <c r="A77" s="293" t="s">
        <v>1828</v>
      </c>
      <c r="B77" s="294"/>
      <c r="C77" s="294"/>
      <c r="D77" s="294"/>
      <c r="E77" s="294"/>
      <c r="F77" s="294"/>
      <c r="G77" s="294"/>
      <c r="H77" s="294"/>
      <c r="I77" s="294"/>
      <c r="J77" s="294"/>
      <c r="K77" s="294"/>
      <c r="L77" s="294"/>
      <c r="M77" s="294"/>
      <c r="N77" s="294"/>
      <c r="O77" s="294"/>
      <c r="P77" s="294"/>
      <c r="Q77" s="294"/>
      <c r="R77" s="294"/>
      <c r="S77" s="294"/>
      <c r="T77" s="294"/>
      <c r="U77" s="294"/>
      <c r="V77" s="294"/>
      <c r="W77" s="294"/>
      <c r="X77" s="295"/>
    </row>
    <row r="78" spans="1:24" x14ac:dyDescent="0.25">
      <c r="A78" s="296"/>
      <c r="B78" s="297"/>
      <c r="C78" s="297"/>
      <c r="D78" s="297"/>
      <c r="E78" s="297"/>
      <c r="F78" s="297"/>
      <c r="G78" s="297"/>
      <c r="H78" s="297"/>
      <c r="I78" s="297"/>
      <c r="J78" s="297"/>
      <c r="K78" s="297"/>
      <c r="L78" s="297"/>
      <c r="M78" s="297"/>
      <c r="N78" s="297"/>
      <c r="O78" s="297"/>
      <c r="P78" s="297"/>
      <c r="Q78" s="297"/>
      <c r="R78" s="297"/>
      <c r="S78" s="297"/>
      <c r="T78" s="297"/>
      <c r="U78" s="297"/>
      <c r="V78" s="297"/>
      <c r="W78" s="297"/>
      <c r="X78" s="298"/>
    </row>
    <row r="79" spans="1:24" x14ac:dyDescent="0.25">
      <c r="A79" s="296"/>
      <c r="B79" s="297"/>
      <c r="C79" s="297"/>
      <c r="D79" s="297"/>
      <c r="E79" s="297"/>
      <c r="F79" s="297"/>
      <c r="G79" s="297"/>
      <c r="H79" s="297"/>
      <c r="I79" s="297"/>
      <c r="J79" s="297"/>
      <c r="K79" s="297"/>
      <c r="L79" s="297"/>
      <c r="M79" s="297"/>
      <c r="N79" s="297"/>
      <c r="O79" s="297"/>
      <c r="P79" s="297"/>
      <c r="Q79" s="297"/>
      <c r="R79" s="297"/>
      <c r="S79" s="297"/>
      <c r="T79" s="297"/>
      <c r="U79" s="297"/>
      <c r="V79" s="297"/>
      <c r="W79" s="297"/>
      <c r="X79" s="298"/>
    </row>
    <row r="80" spans="1:24" x14ac:dyDescent="0.25">
      <c r="A80" s="296"/>
      <c r="B80" s="297"/>
      <c r="C80" s="297"/>
      <c r="D80" s="297"/>
      <c r="E80" s="297"/>
      <c r="F80" s="297"/>
      <c r="G80" s="297"/>
      <c r="H80" s="297"/>
      <c r="I80" s="297"/>
      <c r="J80" s="297"/>
      <c r="K80" s="297"/>
      <c r="L80" s="297"/>
      <c r="M80" s="297"/>
      <c r="N80" s="297"/>
      <c r="O80" s="297"/>
      <c r="P80" s="297"/>
      <c r="Q80" s="297"/>
      <c r="R80" s="297"/>
      <c r="S80" s="297"/>
      <c r="T80" s="297"/>
      <c r="U80" s="297"/>
      <c r="V80" s="297"/>
      <c r="W80" s="297"/>
      <c r="X80" s="298"/>
    </row>
    <row r="81" spans="1:24" x14ac:dyDescent="0.25">
      <c r="A81" s="296"/>
      <c r="B81" s="297"/>
      <c r="C81" s="297"/>
      <c r="D81" s="297"/>
      <c r="E81" s="297"/>
      <c r="F81" s="297"/>
      <c r="G81" s="297"/>
      <c r="H81" s="297"/>
      <c r="I81" s="297"/>
      <c r="J81" s="297"/>
      <c r="K81" s="297"/>
      <c r="L81" s="297"/>
      <c r="M81" s="297"/>
      <c r="N81" s="297"/>
      <c r="O81" s="297"/>
      <c r="P81" s="297"/>
      <c r="Q81" s="297"/>
      <c r="R81" s="297"/>
      <c r="S81" s="297"/>
      <c r="T81" s="297"/>
      <c r="U81" s="297"/>
      <c r="V81" s="297"/>
      <c r="W81" s="297"/>
      <c r="X81" s="298"/>
    </row>
    <row r="82" spans="1:24" x14ac:dyDescent="0.25">
      <c r="A82" s="296"/>
      <c r="B82" s="297"/>
      <c r="C82" s="297"/>
      <c r="D82" s="297"/>
      <c r="E82" s="297"/>
      <c r="F82" s="297"/>
      <c r="G82" s="297"/>
      <c r="H82" s="297"/>
      <c r="I82" s="297"/>
      <c r="J82" s="297"/>
      <c r="K82" s="297"/>
      <c r="L82" s="297"/>
      <c r="M82" s="297"/>
      <c r="N82" s="297"/>
      <c r="O82" s="297"/>
      <c r="P82" s="297"/>
      <c r="Q82" s="297"/>
      <c r="R82" s="297"/>
      <c r="S82" s="297"/>
      <c r="T82" s="297"/>
      <c r="U82" s="297"/>
      <c r="V82" s="297"/>
      <c r="W82" s="297"/>
      <c r="X82" s="298"/>
    </row>
    <row r="83" spans="1:24" ht="15" customHeight="1" x14ac:dyDescent="0.25">
      <c r="A83" s="296"/>
      <c r="B83" s="297"/>
      <c r="C83" s="297"/>
      <c r="D83" s="297"/>
      <c r="E83" s="297"/>
      <c r="F83" s="297"/>
      <c r="G83" s="297"/>
      <c r="H83" s="297"/>
      <c r="I83" s="297"/>
      <c r="J83" s="297"/>
      <c r="K83" s="297"/>
      <c r="L83" s="297"/>
      <c r="M83" s="297"/>
      <c r="N83" s="297"/>
      <c r="O83" s="297"/>
      <c r="P83" s="297"/>
      <c r="Q83" s="297"/>
      <c r="R83" s="297"/>
      <c r="S83" s="297"/>
      <c r="T83" s="297"/>
      <c r="U83" s="297"/>
      <c r="V83" s="297"/>
      <c r="W83" s="297"/>
      <c r="X83" s="298"/>
    </row>
    <row r="84" spans="1:24" ht="15" customHeight="1" x14ac:dyDescent="0.25">
      <c r="A84" s="296"/>
      <c r="B84" s="297"/>
      <c r="C84" s="297"/>
      <c r="D84" s="297"/>
      <c r="E84" s="297"/>
      <c r="F84" s="297"/>
      <c r="G84" s="297"/>
      <c r="H84" s="297"/>
      <c r="I84" s="297"/>
      <c r="J84" s="297"/>
      <c r="K84" s="297"/>
      <c r="L84" s="297"/>
      <c r="M84" s="297"/>
      <c r="N84" s="297"/>
      <c r="O84" s="297"/>
      <c r="P84" s="297"/>
      <c r="Q84" s="297"/>
      <c r="R84" s="297"/>
      <c r="S84" s="297"/>
      <c r="T84" s="297"/>
      <c r="U84" s="297"/>
      <c r="V84" s="297"/>
      <c r="W84" s="297"/>
      <c r="X84" s="298"/>
    </row>
    <row r="85" spans="1:24" ht="15" customHeight="1" thickBot="1" x14ac:dyDescent="0.3">
      <c r="A85" s="299"/>
      <c r="B85" s="300"/>
      <c r="C85" s="300"/>
      <c r="D85" s="300"/>
      <c r="E85" s="300"/>
      <c r="F85" s="300"/>
      <c r="G85" s="300"/>
      <c r="H85" s="300"/>
      <c r="I85" s="300"/>
      <c r="J85" s="300"/>
      <c r="K85" s="300"/>
      <c r="L85" s="300"/>
      <c r="M85" s="300"/>
      <c r="N85" s="300"/>
      <c r="O85" s="300"/>
      <c r="P85" s="300"/>
      <c r="Q85" s="300"/>
      <c r="R85" s="300"/>
      <c r="S85" s="300"/>
      <c r="T85" s="300"/>
      <c r="U85" s="300"/>
      <c r="V85" s="300"/>
      <c r="W85" s="300"/>
      <c r="X85" s="301"/>
    </row>
    <row r="86" spans="1:24" ht="15" customHeight="1" x14ac:dyDescent="0.25">
      <c r="A86" s="302" t="s">
        <v>1825</v>
      </c>
      <c r="B86" s="303"/>
      <c r="C86" s="303"/>
      <c r="D86" s="303"/>
      <c r="E86" s="303"/>
      <c r="F86" s="303"/>
      <c r="G86" s="303"/>
      <c r="H86" s="303"/>
      <c r="I86" s="303"/>
      <c r="J86" s="303"/>
      <c r="K86" s="303"/>
      <c r="L86" s="303"/>
      <c r="M86" s="303"/>
      <c r="N86" s="303"/>
      <c r="O86" s="303"/>
      <c r="P86" s="303"/>
      <c r="Q86" s="303"/>
      <c r="R86" s="303"/>
      <c r="S86" s="303"/>
      <c r="T86" s="303"/>
      <c r="U86" s="303"/>
      <c r="V86" s="303"/>
      <c r="W86" s="303"/>
      <c r="X86" s="304"/>
    </row>
    <row r="87" spans="1:24" ht="15.75" customHeight="1" thickBot="1" x14ac:dyDescent="0.3">
      <c r="A87" s="305"/>
      <c r="B87" s="306"/>
      <c r="C87" s="306"/>
      <c r="D87" s="306"/>
      <c r="E87" s="306"/>
      <c r="F87" s="306"/>
      <c r="G87" s="306"/>
      <c r="H87" s="306"/>
      <c r="I87" s="306"/>
      <c r="J87" s="306"/>
      <c r="K87" s="306"/>
      <c r="L87" s="306"/>
      <c r="M87" s="306"/>
      <c r="N87" s="306"/>
      <c r="O87" s="306"/>
      <c r="P87" s="306"/>
      <c r="Q87" s="306"/>
      <c r="R87" s="306"/>
      <c r="S87" s="306"/>
      <c r="T87" s="306"/>
      <c r="U87" s="306"/>
      <c r="V87" s="306"/>
      <c r="W87" s="306"/>
      <c r="X87" s="307"/>
    </row>
    <row r="88" spans="1:24" ht="15" customHeight="1" x14ac:dyDescent="0.25">
      <c r="A88" s="293" t="s">
        <v>1829</v>
      </c>
      <c r="B88" s="294"/>
      <c r="C88" s="294"/>
      <c r="D88" s="294"/>
      <c r="E88" s="294"/>
      <c r="F88" s="294"/>
      <c r="G88" s="294"/>
      <c r="H88" s="294"/>
      <c r="I88" s="294"/>
      <c r="J88" s="294"/>
      <c r="K88" s="294"/>
      <c r="L88" s="294"/>
      <c r="M88" s="294"/>
      <c r="N88" s="294"/>
      <c r="O88" s="294"/>
      <c r="P88" s="294"/>
      <c r="Q88" s="294"/>
      <c r="R88" s="294"/>
      <c r="S88" s="294"/>
      <c r="T88" s="294"/>
      <c r="U88" s="294"/>
      <c r="V88" s="294"/>
      <c r="W88" s="294"/>
      <c r="X88" s="295"/>
    </row>
    <row r="89" spans="1:24" x14ac:dyDescent="0.25">
      <c r="A89" s="296"/>
      <c r="B89" s="297"/>
      <c r="C89" s="297"/>
      <c r="D89" s="297"/>
      <c r="E89" s="297"/>
      <c r="F89" s="297"/>
      <c r="G89" s="297"/>
      <c r="H89" s="297"/>
      <c r="I89" s="297"/>
      <c r="J89" s="297"/>
      <c r="K89" s="297"/>
      <c r="L89" s="297"/>
      <c r="M89" s="297"/>
      <c r="N89" s="297"/>
      <c r="O89" s="297"/>
      <c r="P89" s="297"/>
      <c r="Q89" s="297"/>
      <c r="R89" s="297"/>
      <c r="S89" s="297"/>
      <c r="T89" s="297"/>
      <c r="U89" s="297"/>
      <c r="V89" s="297"/>
      <c r="W89" s="297"/>
      <c r="X89" s="298"/>
    </row>
    <row r="90" spans="1:24" ht="15.75" thickBot="1" x14ac:dyDescent="0.3">
      <c r="A90" s="299"/>
      <c r="B90" s="300"/>
      <c r="C90" s="300"/>
      <c r="D90" s="300"/>
      <c r="E90" s="300"/>
      <c r="F90" s="300"/>
      <c r="G90" s="300"/>
      <c r="H90" s="300"/>
      <c r="I90" s="300"/>
      <c r="J90" s="300"/>
      <c r="K90" s="300"/>
      <c r="L90" s="300"/>
      <c r="M90" s="300"/>
      <c r="N90" s="300"/>
      <c r="O90" s="300"/>
      <c r="P90" s="300"/>
      <c r="Q90" s="300"/>
      <c r="R90" s="300"/>
      <c r="S90" s="300"/>
      <c r="T90" s="300"/>
      <c r="U90" s="300"/>
      <c r="V90" s="300"/>
      <c r="W90" s="300"/>
      <c r="X90" s="301"/>
    </row>
    <row r="91" spans="1:24" ht="15" customHeight="1" x14ac:dyDescent="0.25">
      <c r="A91" s="347" t="s">
        <v>1830</v>
      </c>
      <c r="B91" s="348"/>
      <c r="C91" s="348"/>
      <c r="D91" s="348"/>
      <c r="E91" s="348"/>
      <c r="F91" s="348"/>
      <c r="G91" s="348"/>
      <c r="H91" s="348"/>
      <c r="I91" s="348"/>
      <c r="J91" s="348"/>
      <c r="K91" s="348"/>
      <c r="L91" s="348"/>
      <c r="M91" s="348"/>
      <c r="N91" s="348"/>
      <c r="O91" s="348"/>
      <c r="P91" s="348"/>
      <c r="Q91" s="348"/>
      <c r="R91" s="348"/>
      <c r="S91" s="348"/>
      <c r="T91" s="348"/>
      <c r="U91" s="348"/>
      <c r="V91" s="348"/>
      <c r="W91" s="348"/>
      <c r="X91" s="349"/>
    </row>
    <row r="92" spans="1:24" x14ac:dyDescent="0.25">
      <c r="A92" s="338"/>
      <c r="B92" s="339"/>
      <c r="C92" s="339"/>
      <c r="D92" s="339"/>
      <c r="E92" s="339"/>
      <c r="F92" s="339"/>
      <c r="G92" s="339"/>
      <c r="H92" s="339"/>
      <c r="I92" s="339"/>
      <c r="J92" s="339"/>
      <c r="K92" s="339"/>
      <c r="L92" s="339"/>
      <c r="M92" s="339"/>
      <c r="N92" s="339"/>
      <c r="O92" s="339"/>
      <c r="P92" s="339"/>
      <c r="Q92" s="339"/>
      <c r="R92" s="339"/>
      <c r="S92" s="339"/>
      <c r="T92" s="339"/>
      <c r="U92" s="339"/>
      <c r="V92" s="339"/>
      <c r="W92" s="339"/>
      <c r="X92" s="340"/>
    </row>
    <row r="93" spans="1:24" x14ac:dyDescent="0.25">
      <c r="A93" s="338"/>
      <c r="B93" s="339"/>
      <c r="C93" s="339"/>
      <c r="D93" s="339"/>
      <c r="E93" s="339"/>
      <c r="F93" s="339"/>
      <c r="G93" s="339"/>
      <c r="H93" s="339"/>
      <c r="I93" s="339"/>
      <c r="J93" s="339"/>
      <c r="K93" s="339"/>
      <c r="L93" s="339"/>
      <c r="M93" s="339"/>
      <c r="N93" s="339"/>
      <c r="O93" s="339"/>
      <c r="P93" s="339"/>
      <c r="Q93" s="339"/>
      <c r="R93" s="339"/>
      <c r="S93" s="339"/>
      <c r="T93" s="339"/>
      <c r="U93" s="339"/>
      <c r="V93" s="339"/>
      <c r="W93" s="339"/>
      <c r="X93" s="340"/>
    </row>
    <row r="94" spans="1:24" x14ac:dyDescent="0.25">
      <c r="A94" s="338"/>
      <c r="B94" s="339"/>
      <c r="C94" s="339"/>
      <c r="D94" s="339"/>
      <c r="E94" s="339"/>
      <c r="F94" s="339"/>
      <c r="G94" s="339"/>
      <c r="H94" s="339"/>
      <c r="I94" s="339"/>
      <c r="J94" s="339"/>
      <c r="K94" s="339"/>
      <c r="L94" s="339"/>
      <c r="M94" s="339"/>
      <c r="N94" s="339"/>
      <c r="O94" s="339"/>
      <c r="P94" s="339"/>
      <c r="Q94" s="339"/>
      <c r="R94" s="339"/>
      <c r="S94" s="339"/>
      <c r="T94" s="339"/>
      <c r="U94" s="339"/>
      <c r="V94" s="339"/>
      <c r="W94" s="339"/>
      <c r="X94" s="340"/>
    </row>
    <row r="95" spans="1:24" x14ac:dyDescent="0.25">
      <c r="A95" s="338"/>
      <c r="B95" s="339"/>
      <c r="C95" s="339"/>
      <c r="D95" s="339"/>
      <c r="E95" s="339"/>
      <c r="F95" s="339"/>
      <c r="G95" s="339"/>
      <c r="H95" s="339"/>
      <c r="I95" s="339"/>
      <c r="J95" s="339"/>
      <c r="K95" s="339"/>
      <c r="L95" s="339"/>
      <c r="M95" s="339"/>
      <c r="N95" s="339"/>
      <c r="O95" s="339"/>
      <c r="P95" s="339"/>
      <c r="Q95" s="339"/>
      <c r="R95" s="339"/>
      <c r="S95" s="339"/>
      <c r="T95" s="339"/>
      <c r="U95" s="339"/>
      <c r="V95" s="339"/>
      <c r="W95" s="339"/>
      <c r="X95" s="340"/>
    </row>
    <row r="96" spans="1:24" x14ac:dyDescent="0.25">
      <c r="A96" s="338"/>
      <c r="B96" s="339"/>
      <c r="C96" s="339"/>
      <c r="D96" s="339"/>
      <c r="E96" s="339"/>
      <c r="F96" s="339"/>
      <c r="G96" s="339"/>
      <c r="H96" s="339"/>
      <c r="I96" s="339"/>
      <c r="J96" s="339"/>
      <c r="K96" s="339"/>
      <c r="L96" s="339"/>
      <c r="M96" s="339"/>
      <c r="N96" s="339"/>
      <c r="O96" s="339"/>
      <c r="P96" s="339"/>
      <c r="Q96" s="339"/>
      <c r="R96" s="339"/>
      <c r="S96" s="339"/>
      <c r="T96" s="339"/>
      <c r="U96" s="339"/>
      <c r="V96" s="339"/>
      <c r="W96" s="339"/>
      <c r="X96" s="340"/>
    </row>
    <row r="97" spans="1:24" x14ac:dyDescent="0.25">
      <c r="A97" s="338"/>
      <c r="B97" s="339"/>
      <c r="C97" s="339"/>
      <c r="D97" s="339"/>
      <c r="E97" s="339"/>
      <c r="F97" s="339"/>
      <c r="G97" s="339"/>
      <c r="H97" s="339"/>
      <c r="I97" s="339"/>
      <c r="J97" s="339"/>
      <c r="K97" s="339"/>
      <c r="L97" s="339"/>
      <c r="M97" s="339"/>
      <c r="N97" s="339"/>
      <c r="O97" s="339"/>
      <c r="P97" s="339"/>
      <c r="Q97" s="339"/>
      <c r="R97" s="339"/>
      <c r="S97" s="339"/>
      <c r="T97" s="339"/>
      <c r="U97" s="339"/>
      <c r="V97" s="339"/>
      <c r="W97" s="339"/>
      <c r="X97" s="340"/>
    </row>
    <row r="98" spans="1:24" x14ac:dyDescent="0.25">
      <c r="A98" s="338"/>
      <c r="B98" s="339"/>
      <c r="C98" s="339"/>
      <c r="D98" s="339"/>
      <c r="E98" s="339"/>
      <c r="F98" s="339"/>
      <c r="G98" s="339"/>
      <c r="H98" s="339"/>
      <c r="I98" s="339"/>
      <c r="J98" s="339"/>
      <c r="K98" s="339"/>
      <c r="L98" s="339"/>
      <c r="M98" s="339"/>
      <c r="N98" s="339"/>
      <c r="O98" s="339"/>
      <c r="P98" s="339"/>
      <c r="Q98" s="339"/>
      <c r="R98" s="339"/>
      <c r="S98" s="339"/>
      <c r="T98" s="339"/>
      <c r="U98" s="339"/>
      <c r="V98" s="339"/>
      <c r="W98" s="339"/>
      <c r="X98" s="340"/>
    </row>
    <row r="99" spans="1:24" x14ac:dyDescent="0.25">
      <c r="A99" s="338"/>
      <c r="B99" s="339"/>
      <c r="C99" s="339"/>
      <c r="D99" s="339"/>
      <c r="E99" s="339"/>
      <c r="F99" s="339"/>
      <c r="G99" s="339"/>
      <c r="H99" s="339"/>
      <c r="I99" s="339"/>
      <c r="J99" s="339"/>
      <c r="K99" s="339"/>
      <c r="L99" s="339"/>
      <c r="M99" s="339"/>
      <c r="N99" s="339"/>
      <c r="O99" s="339"/>
      <c r="P99" s="339"/>
      <c r="Q99" s="339"/>
      <c r="R99" s="339"/>
      <c r="S99" s="339"/>
      <c r="T99" s="339"/>
      <c r="U99" s="339"/>
      <c r="V99" s="339"/>
      <c r="W99" s="339"/>
      <c r="X99" s="340"/>
    </row>
    <row r="100" spans="1:24" x14ac:dyDescent="0.25">
      <c r="A100" s="338"/>
      <c r="B100" s="339"/>
      <c r="C100" s="339"/>
      <c r="D100" s="339"/>
      <c r="E100" s="339"/>
      <c r="F100" s="339"/>
      <c r="G100" s="339"/>
      <c r="H100" s="339"/>
      <c r="I100" s="339"/>
      <c r="J100" s="339"/>
      <c r="K100" s="339"/>
      <c r="L100" s="339"/>
      <c r="M100" s="339"/>
      <c r="N100" s="339"/>
      <c r="O100" s="339"/>
      <c r="P100" s="339"/>
      <c r="Q100" s="339"/>
      <c r="R100" s="339"/>
      <c r="S100" s="339"/>
      <c r="T100" s="339"/>
      <c r="U100" s="339"/>
      <c r="V100" s="339"/>
      <c r="W100" s="339"/>
      <c r="X100" s="340"/>
    </row>
    <row r="101" spans="1:24" x14ac:dyDescent="0.25">
      <c r="A101" s="338"/>
      <c r="B101" s="339"/>
      <c r="C101" s="339"/>
      <c r="D101" s="339"/>
      <c r="E101" s="339"/>
      <c r="F101" s="339"/>
      <c r="G101" s="339"/>
      <c r="H101" s="339"/>
      <c r="I101" s="339"/>
      <c r="J101" s="339"/>
      <c r="K101" s="339"/>
      <c r="L101" s="339"/>
      <c r="M101" s="339"/>
      <c r="N101" s="339"/>
      <c r="O101" s="339"/>
      <c r="P101" s="339"/>
      <c r="Q101" s="339"/>
      <c r="R101" s="339"/>
      <c r="S101" s="339"/>
      <c r="T101" s="339"/>
      <c r="U101" s="339"/>
      <c r="V101" s="339"/>
      <c r="W101" s="339"/>
      <c r="X101" s="340"/>
    </row>
    <row r="102" spans="1:24" x14ac:dyDescent="0.25">
      <c r="A102" s="338"/>
      <c r="B102" s="339"/>
      <c r="C102" s="339"/>
      <c r="D102" s="339"/>
      <c r="E102" s="339"/>
      <c r="F102" s="339"/>
      <c r="G102" s="339"/>
      <c r="H102" s="339"/>
      <c r="I102" s="339"/>
      <c r="J102" s="339"/>
      <c r="K102" s="339"/>
      <c r="L102" s="339"/>
      <c r="M102" s="339"/>
      <c r="N102" s="339"/>
      <c r="O102" s="339"/>
      <c r="P102" s="339"/>
      <c r="Q102" s="339"/>
      <c r="R102" s="339"/>
      <c r="S102" s="339"/>
      <c r="T102" s="339"/>
      <c r="U102" s="339"/>
      <c r="V102" s="339"/>
      <c r="W102" s="339"/>
      <c r="X102" s="340"/>
    </row>
    <row r="103" spans="1:24" x14ac:dyDescent="0.25">
      <c r="A103" s="338"/>
      <c r="B103" s="339"/>
      <c r="C103" s="339"/>
      <c r="D103" s="339"/>
      <c r="E103" s="339"/>
      <c r="F103" s="339"/>
      <c r="G103" s="339"/>
      <c r="H103" s="339"/>
      <c r="I103" s="339"/>
      <c r="J103" s="339"/>
      <c r="K103" s="339"/>
      <c r="L103" s="339"/>
      <c r="M103" s="339"/>
      <c r="N103" s="339"/>
      <c r="O103" s="339"/>
      <c r="P103" s="339"/>
      <c r="Q103" s="339"/>
      <c r="R103" s="339"/>
      <c r="S103" s="339"/>
      <c r="T103" s="339"/>
      <c r="U103" s="339"/>
      <c r="V103" s="339"/>
      <c r="W103" s="339"/>
      <c r="X103" s="340"/>
    </row>
    <row r="104" spans="1:24" ht="15.75" thickBot="1" x14ac:dyDescent="0.3">
      <c r="A104" s="341"/>
      <c r="B104" s="342"/>
      <c r="C104" s="342"/>
      <c r="D104" s="342"/>
      <c r="E104" s="342"/>
      <c r="F104" s="342"/>
      <c r="G104" s="342"/>
      <c r="H104" s="342"/>
      <c r="I104" s="342"/>
      <c r="J104" s="342"/>
      <c r="K104" s="342"/>
      <c r="L104" s="342"/>
      <c r="M104" s="342"/>
      <c r="N104" s="342"/>
      <c r="O104" s="342"/>
      <c r="P104" s="342"/>
      <c r="Q104" s="342"/>
      <c r="R104" s="342"/>
      <c r="S104" s="342"/>
      <c r="T104" s="342"/>
      <c r="U104" s="342"/>
      <c r="V104" s="342"/>
      <c r="W104" s="342"/>
      <c r="X104" s="343"/>
    </row>
    <row r="105" spans="1:24" ht="15.75" customHeight="1" thickBot="1" x14ac:dyDescent="0.3">
      <c r="A105" s="344" t="s">
        <v>1831</v>
      </c>
      <c r="B105" s="345"/>
      <c r="C105" s="345"/>
      <c r="D105" s="345"/>
      <c r="E105" s="345"/>
      <c r="F105" s="345"/>
      <c r="G105" s="345"/>
      <c r="H105" s="345"/>
      <c r="I105" s="345"/>
      <c r="J105" s="345"/>
      <c r="K105" s="345"/>
      <c r="L105" s="345"/>
      <c r="M105" s="345"/>
      <c r="N105" s="345"/>
      <c r="O105" s="345"/>
      <c r="P105" s="345"/>
      <c r="Q105" s="345"/>
      <c r="R105" s="345"/>
      <c r="S105" s="345"/>
      <c r="T105" s="345"/>
      <c r="U105" s="345"/>
      <c r="V105" s="345"/>
      <c r="W105" s="345"/>
      <c r="X105" s="346"/>
    </row>
  </sheetData>
  <sheetProtection password="E9C2" sheet="1" objects="1" scenarios="1" selectLockedCells="1"/>
  <mergeCells count="32">
    <mergeCell ref="A29:X30"/>
    <mergeCell ref="A105:X105"/>
    <mergeCell ref="A91:X104"/>
    <mergeCell ref="A88:X90"/>
    <mergeCell ref="A86:X87"/>
    <mergeCell ref="A63:X63"/>
    <mergeCell ref="A61:X62"/>
    <mergeCell ref="A59:X60"/>
    <mergeCell ref="A1:X2"/>
    <mergeCell ref="A3:X9"/>
    <mergeCell ref="A10:X11"/>
    <mergeCell ref="A28:X28"/>
    <mergeCell ref="A27:X27"/>
    <mergeCell ref="A24:X26"/>
    <mergeCell ref="A22:X23"/>
    <mergeCell ref="A20:X21"/>
    <mergeCell ref="A19:X19"/>
    <mergeCell ref="A12:X18"/>
    <mergeCell ref="A77:X85"/>
    <mergeCell ref="A74:X76"/>
    <mergeCell ref="A73:X73"/>
    <mergeCell ref="A71:X72"/>
    <mergeCell ref="A70:X70"/>
    <mergeCell ref="A51:X58"/>
    <mergeCell ref="A49:X50"/>
    <mergeCell ref="A33:X48"/>
    <mergeCell ref="A31:X32"/>
    <mergeCell ref="A68:X69"/>
    <mergeCell ref="A67:X67"/>
    <mergeCell ref="A66:X66"/>
    <mergeCell ref="A65:X65"/>
    <mergeCell ref="A64:X64"/>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sheetPr>
  <dimension ref="A1:R126"/>
  <sheetViews>
    <sheetView topLeftCell="S1" workbookViewId="0">
      <selection activeCell="R1" sqref="A1:R1048576"/>
    </sheetView>
  </sheetViews>
  <sheetFormatPr defaultRowHeight="15" x14ac:dyDescent="0.25"/>
  <cols>
    <col min="1" max="1" width="9.140625" style="28" hidden="1" customWidth="1"/>
    <col min="2" max="2" width="7.7109375" style="28" hidden="1" customWidth="1"/>
    <col min="3" max="4" width="8.5703125" style="28" hidden="1" customWidth="1"/>
    <col min="5" max="6" width="10.140625" style="28" hidden="1" customWidth="1"/>
    <col min="7" max="7" width="6" style="28" hidden="1" customWidth="1"/>
    <col min="8" max="9" width="8.7109375" style="28" hidden="1" customWidth="1"/>
    <col min="10" max="10" width="6.5703125" style="28" hidden="1" customWidth="1"/>
    <col min="11" max="11" width="6.42578125" style="28" hidden="1" customWidth="1"/>
    <col min="12" max="12" width="4.5703125" style="28" hidden="1" customWidth="1"/>
    <col min="13" max="13" width="20.42578125" style="28" hidden="1" customWidth="1"/>
    <col min="14" max="14" width="7.85546875" style="28" hidden="1" customWidth="1"/>
    <col min="15" max="15" width="6.42578125" style="28" hidden="1" customWidth="1"/>
    <col min="16" max="16" width="15.85546875" style="28" hidden="1" customWidth="1"/>
    <col min="17" max="17" width="12.85546875" style="28" hidden="1" customWidth="1"/>
    <col min="18" max="18" width="7.5703125" style="28" hidden="1" customWidth="1"/>
    <col min="19" max="16384" width="9.140625" style="28"/>
  </cols>
  <sheetData>
    <row r="1" spans="1:18" ht="15.75" thickBot="1" x14ac:dyDescent="0.3">
      <c r="A1" s="214" t="s">
        <v>122</v>
      </c>
      <c r="B1" s="215" t="s">
        <v>75</v>
      </c>
      <c r="C1" s="215" t="s">
        <v>710</v>
      </c>
      <c r="D1" s="215" t="s">
        <v>836</v>
      </c>
      <c r="E1" s="215" t="s">
        <v>711</v>
      </c>
      <c r="F1" s="215" t="s">
        <v>837</v>
      </c>
      <c r="G1" s="215" t="s">
        <v>713</v>
      </c>
      <c r="H1" s="215" t="s">
        <v>712</v>
      </c>
      <c r="I1" s="215" t="s">
        <v>127</v>
      </c>
      <c r="J1" s="215" t="s">
        <v>131</v>
      </c>
      <c r="K1" s="215" t="s">
        <v>128</v>
      </c>
      <c r="L1" s="216" t="s">
        <v>709</v>
      </c>
      <c r="M1" s="142" t="s">
        <v>92</v>
      </c>
      <c r="N1" s="138" t="s">
        <v>89</v>
      </c>
      <c r="O1" s="138" t="s">
        <v>90</v>
      </c>
      <c r="P1" s="138" t="s">
        <v>91</v>
      </c>
      <c r="Q1" s="138" t="s">
        <v>93</v>
      </c>
      <c r="R1" s="139" t="s">
        <v>756</v>
      </c>
    </row>
    <row r="2" spans="1:18" x14ac:dyDescent="0.25">
      <c r="A2" s="202" t="s">
        <v>754</v>
      </c>
      <c r="B2" s="203" t="s">
        <v>830</v>
      </c>
      <c r="C2" s="203">
        <v>-1</v>
      </c>
      <c r="D2" s="203">
        <f>IF(B2="Melee",C2+CharacterSheet!$E$7+CharacterSheet!$M$15,IF(B2="brawl",C2+CharacterSheet!$E$7+CharacterSheet!$E$16,IF(B2="Marks",C2+CharacterSheet!$E$7+CharacterSheet!$M$13,IF(B2="Thrown",C2+CharacterSheet!$E$7+CharacterSheet!$M$21,"Error"))))</f>
        <v>0</v>
      </c>
      <c r="E2" s="203">
        <v>5</v>
      </c>
      <c r="F2" s="203">
        <f>IF(B2="marks",E2+CharacterSheet!$M$13,IF(B2="thrown",E2+CharacterSheet!$M$21,IF(B2="brawl",E2+CharacterSheet!$E$6+CharacterSheet!$E$16,IF(B2="melee",E2+CharacterSheet!$M$15+CharacterSheet!$E$6,"Error"))))</f>
        <v>5</v>
      </c>
      <c r="G2" s="203" t="s">
        <v>117</v>
      </c>
      <c r="H2" s="218" t="s">
        <v>831</v>
      </c>
      <c r="I2" s="203" t="str">
        <f>IF(H2="--","--",IF(B2="brawl",(H2+CharacterSheet!$E$16+CharacterSheet!$E$7)/2+CharacterSheet!$G$7,IF(B2="melee",(H2+CharacterSheet!$E$7+CharacterSheet!$M$15)/2+CharacterSheet!$G$7,"--")))</f>
        <v>--</v>
      </c>
      <c r="J2" s="203">
        <v>5</v>
      </c>
      <c r="K2" s="203">
        <v>125</v>
      </c>
      <c r="L2" s="204">
        <v>30</v>
      </c>
      <c r="M2" s="136" t="s">
        <v>893</v>
      </c>
      <c r="N2" s="137">
        <v>9</v>
      </c>
      <c r="O2" s="137">
        <v>6</v>
      </c>
      <c r="P2" s="137">
        <v>2</v>
      </c>
      <c r="Q2" s="137">
        <v>-1</v>
      </c>
      <c r="R2" s="162">
        <v>1</v>
      </c>
    </row>
    <row r="3" spans="1:18" x14ac:dyDescent="0.25">
      <c r="A3" s="192" t="s">
        <v>876</v>
      </c>
      <c r="B3" s="193" t="s">
        <v>48</v>
      </c>
      <c r="C3" s="193">
        <v>5</v>
      </c>
      <c r="D3" s="193">
        <f>IF(B3="Melee",C3+CharacterSheet!$E$7+CharacterSheet!$M$15,IF(B3="brawl",C3+CharacterSheet!$E$7+CharacterSheet!$E$16,IF(B3="Marks",C3+CharacterSheet!$E$7+CharacterSheet!$M$13,IF(B3="Thrown",C3+CharacterSheet!$E$7+CharacterSheet!$M$21,"Error"))))</f>
        <v>6</v>
      </c>
      <c r="E3" s="193">
        <v>6</v>
      </c>
      <c r="F3" s="193">
        <f>IF(B3="marks",E3+CharacterSheet!$M$13,IF(B3="thrown",E3+CharacterSheet!$M$21,IF(B3="brawl",E3+CharacterSheet!$E$6+CharacterSheet!$E$16,IF(B3="melee",E3+CharacterSheet!$M$15+CharacterSheet!$E$6,"Error"))))</f>
        <v>7</v>
      </c>
      <c r="G3" s="193" t="s">
        <v>117</v>
      </c>
      <c r="H3" s="193">
        <v>5</v>
      </c>
      <c r="I3" s="193">
        <f>IF(H3="--","--",IF(B3="brawl",(H3+CharacterSheet!$E$16+CharacterSheet!$E$7)/2+CharacterSheet!$G$7,IF(B3="melee",(H3+CharacterSheet!$E$7+CharacterSheet!$M$15)/2+CharacterSheet!$G$7,"--")))</f>
        <v>3</v>
      </c>
      <c r="J3" s="193">
        <v>4</v>
      </c>
      <c r="K3" s="193" t="s">
        <v>831</v>
      </c>
      <c r="L3" s="208" t="s">
        <v>831</v>
      </c>
      <c r="M3" s="136" t="s">
        <v>900</v>
      </c>
      <c r="N3" s="137">
        <v>8</v>
      </c>
      <c r="O3" s="137">
        <v>6</v>
      </c>
      <c r="P3" s="137">
        <v>4</v>
      </c>
      <c r="Q3" s="137">
        <v>-1</v>
      </c>
      <c r="R3" s="162">
        <v>1</v>
      </c>
    </row>
    <row r="4" spans="1:18" x14ac:dyDescent="0.25">
      <c r="A4" s="192" t="s">
        <v>811</v>
      </c>
      <c r="B4" s="193" t="s">
        <v>830</v>
      </c>
      <c r="C4" s="193">
        <v>0</v>
      </c>
      <c r="D4" s="193">
        <f>IF(B4="Melee",C4+CharacterSheet!$E$7+CharacterSheet!$M$15,IF(B4="brawl",C4+CharacterSheet!$E$7+CharacterSheet!$E$16,IF(B4="Marks",C4+CharacterSheet!$E$7+CharacterSheet!$M$13,IF(B4="Thrown",C4+CharacterSheet!$E$7+CharacterSheet!$M$21,"Error"))))</f>
        <v>1</v>
      </c>
      <c r="E4" s="193">
        <v>40</v>
      </c>
      <c r="F4" s="193">
        <f>IF(B4="marks",E4+CharacterSheet!$M$13,IF(B4="thrown",E4+CharacterSheet!$M$21,IF(B4="brawl",E4+CharacterSheet!$E$6+CharacterSheet!$E$16,IF(B4="melee",E4+CharacterSheet!$M$15+CharacterSheet!$E$6,"Error"))))</f>
        <v>40</v>
      </c>
      <c r="G4" s="193" t="s">
        <v>117</v>
      </c>
      <c r="H4" s="29" t="s">
        <v>831</v>
      </c>
      <c r="I4" s="193" t="str">
        <f>IF(H4="--","--",IF(B4="brawl",(H4+CharacterSheet!$E$16+CharacterSheet!$E$7)/2+CharacterSheet!$G$7,IF(B4="melee",(H4+CharacterSheet!$E$7+CharacterSheet!$M$15)/2+CharacterSheet!$G$7,"--")))</f>
        <v>--</v>
      </c>
      <c r="J4" s="193">
        <v>8</v>
      </c>
      <c r="K4" s="193">
        <v>8000</v>
      </c>
      <c r="L4" s="208">
        <v>1</v>
      </c>
      <c r="M4" s="136" t="s">
        <v>757</v>
      </c>
      <c r="N4" s="137">
        <v>2</v>
      </c>
      <c r="O4" s="137">
        <v>0</v>
      </c>
      <c r="P4" s="137">
        <v>0</v>
      </c>
      <c r="Q4" s="137">
        <v>-1</v>
      </c>
      <c r="R4" s="162">
        <v>0</v>
      </c>
    </row>
    <row r="5" spans="1:18" x14ac:dyDescent="0.25">
      <c r="A5" s="192" t="s">
        <v>810</v>
      </c>
      <c r="B5" s="193" t="s">
        <v>830</v>
      </c>
      <c r="C5" s="193">
        <v>1</v>
      </c>
      <c r="D5" s="193">
        <f>IF(B5="Melee",C5+CharacterSheet!$E$7+CharacterSheet!$M$15,IF(B5="brawl",C5+CharacterSheet!$E$7+CharacterSheet!$E$16,IF(B5="Marks",C5+CharacterSheet!$E$7+CharacterSheet!$M$13,IF(B5="Thrown",C5+CharacterSheet!$E$7+CharacterSheet!$M$21,"Error"))))</f>
        <v>2</v>
      </c>
      <c r="E5" s="193">
        <v>15</v>
      </c>
      <c r="F5" s="193">
        <f>IF(B5="marks",E5+CharacterSheet!$M$13,IF(B5="thrown",E5+CharacterSheet!$M$21,IF(B5="brawl",E5+CharacterSheet!$E$6+CharacterSheet!$E$16,IF(B5="melee",E5+CharacterSheet!$M$15+CharacterSheet!$E$6,"Error"))))</f>
        <v>15</v>
      </c>
      <c r="G5" s="193" t="s">
        <v>117</v>
      </c>
      <c r="H5" s="193" t="s">
        <v>831</v>
      </c>
      <c r="I5" s="193" t="str">
        <f>IF(H5="--","--",IF(B5="brawl",(H5+CharacterSheet!$E$16+CharacterSheet!$E$7)/2+CharacterSheet!$G$7,IF(B5="melee",(H5+CharacterSheet!$E$7+CharacterSheet!$M$15)/2+CharacterSheet!$G$7,"--")))</f>
        <v>--</v>
      </c>
      <c r="J5" s="193">
        <v>8</v>
      </c>
      <c r="K5" s="193">
        <v>2500</v>
      </c>
      <c r="L5" s="208">
        <v>5</v>
      </c>
      <c r="M5" s="136" t="s">
        <v>758</v>
      </c>
      <c r="N5" s="137">
        <v>2</v>
      </c>
      <c r="O5" s="137">
        <v>2</v>
      </c>
      <c r="P5" s="137">
        <v>0</v>
      </c>
      <c r="Q5" s="137">
        <v>0</v>
      </c>
      <c r="R5" s="162">
        <v>1</v>
      </c>
    </row>
    <row r="6" spans="1:18" x14ac:dyDescent="0.25">
      <c r="A6" s="192" t="s">
        <v>739</v>
      </c>
      <c r="B6" s="193" t="s">
        <v>830</v>
      </c>
      <c r="C6" s="193">
        <v>0</v>
      </c>
      <c r="D6" s="193">
        <f>IF(B6="Melee",C6+CharacterSheet!$E$7+CharacterSheet!$M$15,IF(B6="brawl",C6+CharacterSheet!$E$7+CharacterSheet!$E$16,IF(B6="Marks",C6+CharacterSheet!$E$7+CharacterSheet!$M$13,IF(B6="Thrown",C6+CharacterSheet!$E$7+CharacterSheet!$M$21,"Error"))))</f>
        <v>1</v>
      </c>
      <c r="E6" s="193" t="s">
        <v>834</v>
      </c>
      <c r="F6" s="193"/>
      <c r="G6" s="193" t="s">
        <v>834</v>
      </c>
      <c r="H6" s="193" t="s">
        <v>831</v>
      </c>
      <c r="I6" s="193" t="str">
        <f>IF(H6="--","--",IF(B6="brawl",(H6+CharacterSheet!$E$16+CharacterSheet!$E$7)/2+CharacterSheet!$G$7,IF(B6="melee",(H6+CharacterSheet!$E$7+CharacterSheet!$M$15)/2+CharacterSheet!$G$7,"--")))</f>
        <v>--</v>
      </c>
      <c r="J6" s="193">
        <v>6</v>
      </c>
      <c r="K6" s="193" t="s">
        <v>834</v>
      </c>
      <c r="L6" s="208" t="s">
        <v>831</v>
      </c>
      <c r="M6" s="136" t="s">
        <v>785</v>
      </c>
      <c r="N6" s="137">
        <v>1</v>
      </c>
      <c r="O6" s="137">
        <v>0</v>
      </c>
      <c r="P6" s="137">
        <v>0</v>
      </c>
      <c r="Q6" s="137">
        <v>-3</v>
      </c>
      <c r="R6" s="162">
        <v>2</v>
      </c>
    </row>
    <row r="7" spans="1:18" x14ac:dyDescent="0.25">
      <c r="A7" s="192" t="s">
        <v>901</v>
      </c>
      <c r="B7" s="193" t="s">
        <v>48</v>
      </c>
      <c r="C7" s="193">
        <v>1</v>
      </c>
      <c r="D7" s="193">
        <f>IF(B7="Melee",C7+CharacterSheet!$E$7+CharacterSheet!$M$15,IF(B7="brawl",C7+CharacterSheet!$E$7+CharacterSheet!$E$16,IF(B7="Marks",C7+CharacterSheet!$E$7+CharacterSheet!$M$13,IF(B7="Thrown",C7+CharacterSheet!$E$7+CharacterSheet!$M$21,"Error"))))</f>
        <v>2</v>
      </c>
      <c r="E7" s="193">
        <v>3</v>
      </c>
      <c r="F7" s="193">
        <f>IF(B7="marks",E7+CharacterSheet!$M$13,IF(B7="thrown",E7+CharacterSheet!$M$21,IF(B7="brawl",E7+CharacterSheet!$E$6+CharacterSheet!$E$16,IF(B7="melee",E7+CharacterSheet!$M$15+CharacterSheet!$E$6,"Error"))))</f>
        <v>4</v>
      </c>
      <c r="G7" s="193" t="s">
        <v>117</v>
      </c>
      <c r="H7" s="193">
        <v>1</v>
      </c>
      <c r="I7" s="193">
        <f>IF(H7="--","--",IF(B7="brawl",(H7+CharacterSheet!$E$16+CharacterSheet!$E$7)/2+CharacterSheet!$G$7,IF(B7="melee",(H7+CharacterSheet!$E$7+CharacterSheet!$M$15)/2+CharacterSheet!$G$7,"--")))</f>
        <v>1</v>
      </c>
      <c r="J7" s="193">
        <v>4</v>
      </c>
      <c r="K7" s="193" t="s">
        <v>831</v>
      </c>
      <c r="L7" s="208" t="s">
        <v>831</v>
      </c>
      <c r="M7" s="136" t="s">
        <v>759</v>
      </c>
      <c r="N7" s="137">
        <v>1</v>
      </c>
      <c r="O7" s="137">
        <v>0</v>
      </c>
      <c r="P7" s="137">
        <v>0</v>
      </c>
      <c r="Q7" s="137">
        <v>0</v>
      </c>
      <c r="R7" s="162">
        <v>0</v>
      </c>
    </row>
    <row r="8" spans="1:18" x14ac:dyDescent="0.25">
      <c r="A8" s="192" t="s">
        <v>812</v>
      </c>
      <c r="B8" s="193" t="s">
        <v>830</v>
      </c>
      <c r="C8" s="193">
        <v>-2</v>
      </c>
      <c r="D8" s="193">
        <f>IF(B8="Melee",C8+CharacterSheet!$E$7+CharacterSheet!$M$15,IF(B8="brawl",C8+CharacterSheet!$E$7+CharacterSheet!$E$16,IF(B8="Marks",C8+CharacterSheet!$E$7+CharacterSheet!$M$13,IF(B8="Thrown",C8+CharacterSheet!$E$7+CharacterSheet!$M$21,"Error"))))</f>
        <v>-1</v>
      </c>
      <c r="E8" s="193">
        <v>20</v>
      </c>
      <c r="F8" s="193">
        <f>IF(B8="marks",E8+CharacterSheet!$M$13,IF(B8="thrown",E8+CharacterSheet!$M$21,IF(B8="brawl",E8+CharacterSheet!$E$6+CharacterSheet!$E$16,IF(B8="melee",E8+CharacterSheet!$M$15+CharacterSheet!$E$6,"Error"))))</f>
        <v>20</v>
      </c>
      <c r="G8" s="193" t="s">
        <v>117</v>
      </c>
      <c r="H8" s="193" t="s">
        <v>831</v>
      </c>
      <c r="I8" s="193" t="str">
        <f>IF(H8="--","--",IF(B8="brawl",(H8+CharacterSheet!$E$16+CharacterSheet!$E$7)/2+CharacterSheet!$G$7,IF(B8="melee",(H8+CharacterSheet!$E$7+CharacterSheet!$M$15)/2+CharacterSheet!$G$7,"--")))</f>
        <v>--</v>
      </c>
      <c r="J8" s="193">
        <v>8</v>
      </c>
      <c r="K8" s="193">
        <v>300</v>
      </c>
      <c r="L8" s="208">
        <v>1</v>
      </c>
      <c r="M8" s="136" t="s">
        <v>884</v>
      </c>
      <c r="N8" s="137">
        <v>10</v>
      </c>
      <c r="O8" s="137">
        <v>10</v>
      </c>
      <c r="P8" s="137">
        <v>5</v>
      </c>
      <c r="Q8" s="137">
        <v>-1</v>
      </c>
      <c r="R8" s="162">
        <v>1</v>
      </c>
    </row>
    <row r="9" spans="1:18" x14ac:dyDescent="0.25">
      <c r="A9" s="192" t="s">
        <v>746</v>
      </c>
      <c r="B9" s="193" t="s">
        <v>830</v>
      </c>
      <c r="C9" s="193">
        <v>1</v>
      </c>
      <c r="D9" s="193">
        <f>IF(B9="Melee",C9+CharacterSheet!$E$7+CharacterSheet!$M$15,IF(B9="brawl",C9+CharacterSheet!$E$7+CharacterSheet!$E$16,IF(B9="Marks",C9+CharacterSheet!$E$7+CharacterSheet!$M$13,IF(B9="Thrown",C9+CharacterSheet!$E$7+CharacterSheet!$M$21,"Error"))))</f>
        <v>2</v>
      </c>
      <c r="E9" s="193">
        <v>3</v>
      </c>
      <c r="F9" s="193">
        <f>IF(B9="marks",E9+CharacterSheet!$M$13,IF(B9="thrown",E9+CharacterSheet!$M$21,IF(B9="brawl",E9+CharacterSheet!$E$6+CharacterSheet!$E$16,IF(B9="melee",E9+CharacterSheet!$M$15+CharacterSheet!$E$6,"Error"))))</f>
        <v>3</v>
      </c>
      <c r="G9" s="193" t="s">
        <v>117</v>
      </c>
      <c r="H9" s="193" t="s">
        <v>831</v>
      </c>
      <c r="I9" s="193" t="str">
        <f>IF(H9="--","--",IF(B9="brawl",(H9+CharacterSheet!$E$16+CharacterSheet!$E$7)/2+CharacterSheet!$G$7,IF(B9="melee",(H9+CharacterSheet!$E$7+CharacterSheet!$M$15)/2+CharacterSheet!$G$7,"--")))</f>
        <v>--</v>
      </c>
      <c r="J9" s="193">
        <v>4</v>
      </c>
      <c r="K9" s="193">
        <v>20</v>
      </c>
      <c r="L9" s="208">
        <v>15</v>
      </c>
      <c r="M9" s="136" t="s">
        <v>870</v>
      </c>
      <c r="N9" s="137">
        <v>3</v>
      </c>
      <c r="O9" s="137">
        <v>3</v>
      </c>
      <c r="P9" s="137">
        <v>0</v>
      </c>
      <c r="Q9" s="137">
        <v>0</v>
      </c>
      <c r="R9" s="162">
        <v>0</v>
      </c>
    </row>
    <row r="10" spans="1:18" x14ac:dyDescent="0.25">
      <c r="A10" s="192" t="s">
        <v>855</v>
      </c>
      <c r="B10" s="193" t="s">
        <v>54</v>
      </c>
      <c r="C10" s="193">
        <v>2</v>
      </c>
      <c r="D10" s="193">
        <f>IF(B10="Melee",C10+CharacterSheet!$E$7+CharacterSheet!$M$15,IF(B10="brawl",C10+CharacterSheet!$E$7+CharacterSheet!$E$16,IF(B10="Marks",C10+CharacterSheet!$E$7+CharacterSheet!$M$13,IF(B10="Thrown",C10+CharacterSheet!$E$7+CharacterSheet!$M$21,"Error"))))</f>
        <v>3</v>
      </c>
      <c r="E10" s="193">
        <v>3</v>
      </c>
      <c r="F10" s="193">
        <f>IF(B10="marks",E10+CharacterSheet!$M$13,IF(B10="thrown",E10+CharacterSheet!$M$21,IF(B10="brawl",E10+CharacterSheet!$E$6+CharacterSheet!$E$16,IF(B10="melee",E10+CharacterSheet!$M$15+CharacterSheet!$E$6,"Error"))))</f>
        <v>3</v>
      </c>
      <c r="G10" s="193" t="s">
        <v>117</v>
      </c>
      <c r="H10" s="29" t="s">
        <v>831</v>
      </c>
      <c r="I10" s="193" t="str">
        <f>IF(H10="--","--",IF(B10="brawl",(H10+CharacterSheet!$E$16+CharacterSheet!$E$7)/2+CharacterSheet!$G$7,IF(B10="melee",(H10+CharacterSheet!$E$7+CharacterSheet!$M$15)/2+CharacterSheet!$G$7,"--")))</f>
        <v>--</v>
      </c>
      <c r="J10" s="193">
        <v>4</v>
      </c>
      <c r="K10" s="193">
        <f>IF(CharacterSheet!$R$33="Yes",20*LOOKUP(CharacterSheet!$F$6,Reference!$H$2:$H$12,Reference!$J$2:$J$12)*2,20*LOOKUP(CharacterSheet!$F$6,Reference!$H$2:$H$12,Reference!$J$2:$J$12))</f>
        <v>20</v>
      </c>
      <c r="L10" s="35" t="s">
        <v>831</v>
      </c>
      <c r="M10" s="136" t="s">
        <v>760</v>
      </c>
      <c r="N10" s="137">
        <v>3</v>
      </c>
      <c r="O10" s="137">
        <v>1</v>
      </c>
      <c r="P10" s="137">
        <v>0</v>
      </c>
      <c r="Q10" s="137">
        <v>-1</v>
      </c>
      <c r="R10" s="162">
        <v>1</v>
      </c>
    </row>
    <row r="11" spans="1:18" x14ac:dyDescent="0.25">
      <c r="A11" s="192" t="s">
        <v>715</v>
      </c>
      <c r="B11" s="193" t="s">
        <v>48</v>
      </c>
      <c r="C11" s="193">
        <v>2</v>
      </c>
      <c r="D11" s="193">
        <f>IF(B11="Melee",C11+CharacterSheet!$E$7+CharacterSheet!$M$15,IF(B11="brawl",C11+CharacterSheet!$E$7+CharacterSheet!$E$16,IF(B11="Marks",C11+CharacterSheet!$E$7+CharacterSheet!$M$13,IF(B11="Thrown",C11+CharacterSheet!$E$7+CharacterSheet!$M$21,"Error"))))</f>
        <v>3</v>
      </c>
      <c r="E11" s="193">
        <v>3</v>
      </c>
      <c r="F11" s="193">
        <f>IF(B11="marks",E11+CharacterSheet!$M$13,IF(B11="thrown",E11+CharacterSheet!$M$21,IF(B11="brawl",E11+CharacterSheet!$E$6+CharacterSheet!$E$16,IF(B11="melee",E11+CharacterSheet!$M$15+CharacterSheet!$E$6,"Error"))))</f>
        <v>4</v>
      </c>
      <c r="G11" s="193" t="s">
        <v>116</v>
      </c>
      <c r="H11" s="193">
        <v>2</v>
      </c>
      <c r="I11" s="193">
        <f>IF(H11="--","--",IF(B11="brawl",(H11+CharacterSheet!$E$16+CharacterSheet!$E$7)/2+CharacterSheet!$G$7,IF(B11="melee",(H11+CharacterSheet!$E$7+CharacterSheet!$M$15)/2+CharacterSheet!$G$7,"--")))</f>
        <v>1.5</v>
      </c>
      <c r="J11" s="193">
        <v>6</v>
      </c>
      <c r="K11" s="193" t="s">
        <v>831</v>
      </c>
      <c r="L11" s="208" t="s">
        <v>831</v>
      </c>
      <c r="M11" s="136" t="s">
        <v>880</v>
      </c>
      <c r="N11" s="137">
        <v>5</v>
      </c>
      <c r="O11" s="137">
        <v>3</v>
      </c>
      <c r="P11" s="137">
        <v>2</v>
      </c>
      <c r="Q11" s="137">
        <v>0</v>
      </c>
      <c r="R11" s="162">
        <v>0</v>
      </c>
    </row>
    <row r="12" spans="1:18" x14ac:dyDescent="0.25">
      <c r="A12" s="192" t="s">
        <v>813</v>
      </c>
      <c r="B12" s="193" t="s">
        <v>830</v>
      </c>
      <c r="C12" s="193">
        <v>-4</v>
      </c>
      <c r="D12" s="193">
        <f>IF(B12="Melee",C12+CharacterSheet!$E$7+CharacterSheet!$M$15,IF(B12="brawl",C12+CharacterSheet!$E$7+CharacterSheet!$E$16,IF(B12="Marks",C12+CharacterSheet!$E$7+CharacterSheet!$M$13,IF(B12="Thrown",C12+CharacterSheet!$E$7+CharacterSheet!$M$21,"Error"))))</f>
        <v>-3</v>
      </c>
      <c r="E12" s="193">
        <v>25</v>
      </c>
      <c r="F12" s="193">
        <f>IF(B12="marks",E12+CharacterSheet!$M$13,IF(B12="thrown",E12+CharacterSheet!$M$21,IF(B12="brawl",E12+CharacterSheet!$E$6+CharacterSheet!$E$16,IF(B12="melee",E12+CharacterSheet!$M$15+CharacterSheet!$E$6,"Error"))))</f>
        <v>25</v>
      </c>
      <c r="G12" s="193" t="s">
        <v>117</v>
      </c>
      <c r="H12" s="193" t="s">
        <v>831</v>
      </c>
      <c r="I12" s="193" t="str">
        <f>IF(H12="--","--",IF(B12="brawl",(H12+CharacterSheet!$E$16+CharacterSheet!$E$7)/2+CharacterSheet!$G$7,IF(B12="melee",(H12+CharacterSheet!$E$7+CharacterSheet!$M$15)/2+CharacterSheet!$G$7,"--")))</f>
        <v>--</v>
      </c>
      <c r="J12" s="193" t="s">
        <v>832</v>
      </c>
      <c r="K12" s="193">
        <v>0</v>
      </c>
      <c r="L12" s="208">
        <v>1</v>
      </c>
      <c r="M12" s="136" t="s">
        <v>762</v>
      </c>
      <c r="N12" s="137">
        <v>4</v>
      </c>
      <c r="O12" s="137">
        <v>2</v>
      </c>
      <c r="P12" s="137">
        <v>0</v>
      </c>
      <c r="Q12" s="137">
        <v>-2</v>
      </c>
      <c r="R12" s="162">
        <v>1</v>
      </c>
    </row>
    <row r="13" spans="1:18" x14ac:dyDescent="0.25">
      <c r="A13" s="192" t="s">
        <v>814</v>
      </c>
      <c r="B13" s="193" t="s">
        <v>830</v>
      </c>
      <c r="C13" s="193">
        <v>-4</v>
      </c>
      <c r="D13" s="193">
        <f>IF(B13="Melee",C13+CharacterSheet!$E$7+CharacterSheet!$M$15,IF(B13="brawl",C13+CharacterSheet!$E$7+CharacterSheet!$E$16,IF(B13="Marks",C13+CharacterSheet!$E$7+CharacterSheet!$M$13,IF(B13="Thrown",C13+CharacterSheet!$E$7+CharacterSheet!$M$21,"Error"))))</f>
        <v>-3</v>
      </c>
      <c r="E13" s="193">
        <v>50</v>
      </c>
      <c r="F13" s="193">
        <f>IF(B13="marks",E13+CharacterSheet!$M$13,IF(B13="thrown",E13+CharacterSheet!$M$21,IF(B13="brawl",E13+CharacterSheet!$E$6+CharacterSheet!$E$16,IF(B13="melee",E13+CharacterSheet!$M$15+CharacterSheet!$E$6,"Error"))))</f>
        <v>50</v>
      </c>
      <c r="G13" s="193" t="s">
        <v>117</v>
      </c>
      <c r="H13" s="193" t="s">
        <v>831</v>
      </c>
      <c r="I13" s="193" t="str">
        <f>IF(H13="--","--",IF(B13="brawl",(H13+CharacterSheet!$E$16+CharacterSheet!$E$7)/2+CharacterSheet!$G$7,IF(B13="melee",(H13+CharacterSheet!$E$7+CharacterSheet!$M$15)/2+CharacterSheet!$G$7,"--")))</f>
        <v>--</v>
      </c>
      <c r="J13" s="193" t="s">
        <v>832</v>
      </c>
      <c r="K13" s="193">
        <v>0</v>
      </c>
      <c r="L13" s="208">
        <v>1</v>
      </c>
      <c r="M13" s="136" t="s">
        <v>761</v>
      </c>
      <c r="N13" s="137">
        <v>3</v>
      </c>
      <c r="O13" s="137">
        <v>1</v>
      </c>
      <c r="P13" s="137">
        <v>0</v>
      </c>
      <c r="Q13" s="137">
        <v>-1</v>
      </c>
      <c r="R13" s="162">
        <v>1</v>
      </c>
    </row>
    <row r="14" spans="1:18" x14ac:dyDescent="0.25">
      <c r="A14" s="192" t="s">
        <v>815</v>
      </c>
      <c r="B14" s="193" t="s">
        <v>830</v>
      </c>
      <c r="C14" s="193">
        <v>-4</v>
      </c>
      <c r="D14" s="193">
        <f>IF(B14="Melee",C14+CharacterSheet!$E$7+CharacterSheet!$M$15,IF(B14="brawl",C14+CharacterSheet!$E$7+CharacterSheet!$E$16,IF(B14="Marks",C14+CharacterSheet!$E$7+CharacterSheet!$M$13,IF(B14="Thrown",C14+CharacterSheet!$E$7+CharacterSheet!$M$21,"Error"))))</f>
        <v>-3</v>
      </c>
      <c r="E14" s="193">
        <v>100</v>
      </c>
      <c r="F14" s="193">
        <f>IF(B14="marks",E14+CharacterSheet!$M$13,IF(B14="thrown",E14+CharacterSheet!$M$21,IF(B14="brawl",E14+CharacterSheet!$E$6+CharacterSheet!$E$16,IF(B14="melee",E14+CharacterSheet!$M$15+CharacterSheet!$E$6,"Error"))))</f>
        <v>100</v>
      </c>
      <c r="G14" s="193" t="s">
        <v>117</v>
      </c>
      <c r="H14" s="193" t="s">
        <v>831</v>
      </c>
      <c r="I14" s="193" t="str">
        <f>IF(H14="--","--",IF(B14="brawl",(H14+CharacterSheet!$E$16+CharacterSheet!$E$7)/2+CharacterSheet!$G$7,IF(B14="melee",(H14+CharacterSheet!$E$7+CharacterSheet!$M$15)/2+CharacterSheet!$G$7,"--")))</f>
        <v>--</v>
      </c>
      <c r="J14" s="193" t="s">
        <v>832</v>
      </c>
      <c r="K14" s="193">
        <v>0</v>
      </c>
      <c r="L14" s="208">
        <v>1</v>
      </c>
      <c r="M14" s="136" t="s">
        <v>786</v>
      </c>
      <c r="N14" s="137">
        <v>1</v>
      </c>
      <c r="O14" s="137">
        <v>0</v>
      </c>
      <c r="P14" s="137">
        <v>0</v>
      </c>
      <c r="Q14" s="137">
        <v>-3</v>
      </c>
      <c r="R14" s="162">
        <v>2</v>
      </c>
    </row>
    <row r="15" spans="1:18" x14ac:dyDescent="0.25">
      <c r="A15" s="192" t="s">
        <v>780</v>
      </c>
      <c r="B15" s="193" t="s">
        <v>54</v>
      </c>
      <c r="C15" s="193">
        <v>0</v>
      </c>
      <c r="D15" s="193">
        <f>IF(B15="Melee",C15+CharacterSheet!$E$7+CharacterSheet!$M$15,IF(B15="brawl",C15+CharacterSheet!$E$7+CharacterSheet!$E$16,IF(B15="Marks",C15+CharacterSheet!$E$7+CharacterSheet!$M$13,IF(B15="Thrown",C15+CharacterSheet!$E$7+CharacterSheet!$M$21,"Error"))))</f>
        <v>1</v>
      </c>
      <c r="E15" s="193">
        <v>1</v>
      </c>
      <c r="F15" s="193">
        <f>IF(B15="marks",E15+CharacterSheet!$M$13,IF(B15="thrown",E15+CharacterSheet!$M$21,IF(B15="brawl",E15+CharacterSheet!$E$6+CharacterSheet!$E$16,IF(B15="melee",E15+CharacterSheet!$M$15+CharacterSheet!$E$6,"Error"))))</f>
        <v>1</v>
      </c>
      <c r="G15" s="193" t="str">
        <f>IF(CharacterSheet!$R$34="Yes","L","B")</f>
        <v>B</v>
      </c>
      <c r="H15" s="193" t="s">
        <v>831</v>
      </c>
      <c r="I15" s="193" t="str">
        <f>IF(H15="--","--",IF(B15="brawl",(H15+CharacterSheet!$E$16+CharacterSheet!$E$7)/2+CharacterSheet!$G$7,IF(B15="melee",(H15+CharacterSheet!$E$7+CharacterSheet!$M$15)/2+CharacterSheet!$G$7,"--")))</f>
        <v>--</v>
      </c>
      <c r="J15" s="193">
        <v>6</v>
      </c>
      <c r="K15" s="193">
        <f>IF(CharacterSheet!$R$33="Yes",10*LOOKUP(CharacterSheet!$F$6,Reference!$H$2:$H$12,Reference!$J$2:$J$12)*2,10*LOOKUP(CharacterSheet!$F$6,Reference!$H$2:$H$12,Reference!$J$2:$J$12))</f>
        <v>10</v>
      </c>
      <c r="L15" s="208" t="s">
        <v>831</v>
      </c>
      <c r="M15" s="136" t="s">
        <v>852</v>
      </c>
      <c r="N15" s="137">
        <v>8</v>
      </c>
      <c r="O15" s="137">
        <v>8</v>
      </c>
      <c r="P15" s="137">
        <v>4</v>
      </c>
      <c r="Q15" s="137">
        <v>-1</v>
      </c>
      <c r="R15" s="162">
        <v>1</v>
      </c>
    </row>
    <row r="16" spans="1:18" x14ac:dyDescent="0.25">
      <c r="A16" s="192" t="s">
        <v>775</v>
      </c>
      <c r="B16" s="193" t="s">
        <v>39</v>
      </c>
      <c r="C16" s="193">
        <v>1</v>
      </c>
      <c r="D16" s="193">
        <f>IF(B16="Melee",C16+CharacterSheet!$E$7+CharacterSheet!$M$15,IF(B16="brawl",C16+CharacterSheet!$E$7+CharacterSheet!$E$16,IF(B16="Marks",C16+CharacterSheet!$E$7+CharacterSheet!$M$13,IF(B16="Thrown",C16+CharacterSheet!$E$7+CharacterSheet!$M$21,"Error"))))</f>
        <v>2</v>
      </c>
      <c r="E16" s="193">
        <v>2</v>
      </c>
      <c r="F16" s="193">
        <f>IF(B16="marks",E16+CharacterSheet!$M$13,IF(B16="thrown",E16+CharacterSheet!$M$21,IF(B16="brawl",E16+CharacterSheet!$E$6+CharacterSheet!$E$16,IF(B16="melee",E16+CharacterSheet!$M$15+CharacterSheet!$E$6,"Error"))))</f>
        <v>3</v>
      </c>
      <c r="G16" s="193" t="s">
        <v>116</v>
      </c>
      <c r="H16" s="193">
        <v>1</v>
      </c>
      <c r="I16" s="193">
        <f>IF(H16="--","--",IF(B16="brawl",(H16+CharacterSheet!$E$16+CharacterSheet!$E$7)/2+CharacterSheet!$G$7,IF(B16="melee",(H16+CharacterSheet!$E$7+CharacterSheet!$M$15)/2+CharacterSheet!$G$7,"--")))</f>
        <v>1</v>
      </c>
      <c r="J16" s="193">
        <v>4</v>
      </c>
      <c r="K16" s="193" t="s">
        <v>831</v>
      </c>
      <c r="L16" s="208" t="s">
        <v>831</v>
      </c>
      <c r="M16" s="136" t="s">
        <v>892</v>
      </c>
      <c r="N16" s="137">
        <v>10</v>
      </c>
      <c r="O16" s="137">
        <v>10</v>
      </c>
      <c r="P16" s="137">
        <v>5</v>
      </c>
      <c r="Q16" s="137">
        <v>-1</v>
      </c>
      <c r="R16" s="162">
        <v>1</v>
      </c>
    </row>
    <row r="17" spans="1:18" x14ac:dyDescent="0.25">
      <c r="A17" s="192" t="s">
        <v>863</v>
      </c>
      <c r="B17" s="193" t="s">
        <v>48</v>
      </c>
      <c r="C17" s="193">
        <v>2</v>
      </c>
      <c r="D17" s="193">
        <f>IF(B17="Melee",C17+CharacterSheet!$E$7+CharacterSheet!$M$15,IF(B17="brawl",C17+CharacterSheet!$E$7+CharacterSheet!$E$16,IF(B17="Marks",C17+CharacterSheet!$E$7+CharacterSheet!$M$13,IF(B17="Thrown",C17+CharacterSheet!$E$7+CharacterSheet!$M$21,"Error"))))</f>
        <v>3</v>
      </c>
      <c r="E17" s="193">
        <v>10</v>
      </c>
      <c r="F17" s="193">
        <f>IF(B17="marks",E17+CharacterSheet!$M$13,IF(B17="thrown",E17+CharacterSheet!$M$21,IF(B17="brawl",E17+CharacterSheet!$E$6+CharacterSheet!$E$16,IF(B17="melee",E17+CharacterSheet!$M$15+CharacterSheet!$E$6,"Error"))))</f>
        <v>11</v>
      </c>
      <c r="G17" s="193" t="s">
        <v>117</v>
      </c>
      <c r="H17" s="193">
        <v>-1</v>
      </c>
      <c r="I17" s="193">
        <f>IF(H17="--","--",IF(B17="brawl",(H17+CharacterSheet!$E$16+CharacterSheet!$E$7)/2+CharacterSheet!$G$7,IF(B17="melee",(H17+CharacterSheet!$E$7+CharacterSheet!$M$15)/2+CharacterSheet!$G$7,"--")))</f>
        <v>0</v>
      </c>
      <c r="J17" s="193">
        <v>6</v>
      </c>
      <c r="K17" s="193" t="s">
        <v>831</v>
      </c>
      <c r="L17" s="208" t="s">
        <v>831</v>
      </c>
      <c r="M17" s="136" t="s">
        <v>763</v>
      </c>
      <c r="N17" s="137">
        <v>8</v>
      </c>
      <c r="O17" s="137">
        <v>5</v>
      </c>
      <c r="P17" s="137">
        <v>0</v>
      </c>
      <c r="Q17" s="137">
        <v>-2</v>
      </c>
      <c r="R17" s="162">
        <v>2</v>
      </c>
    </row>
    <row r="18" spans="1:18" x14ac:dyDescent="0.25">
      <c r="A18" s="192" t="s">
        <v>897</v>
      </c>
      <c r="B18" s="193" t="s">
        <v>48</v>
      </c>
      <c r="C18" s="193">
        <v>5</v>
      </c>
      <c r="D18" s="193">
        <f>IF(B18="Melee",C18+CharacterSheet!$E$7+CharacterSheet!$M$15,IF(B18="brawl",C18+CharacterSheet!$E$7+CharacterSheet!$E$16,IF(B18="Marks",C18+CharacterSheet!$E$7+CharacterSheet!$M$13,IF(B18="Thrown",C18+CharacterSheet!$E$7+CharacterSheet!$M$21,"Error"))))</f>
        <v>6</v>
      </c>
      <c r="E18" s="193">
        <v>10</v>
      </c>
      <c r="F18" s="193">
        <f>IF(B18="marks",E18+CharacterSheet!$M$13,IF(B18="thrown",E18+CharacterSheet!$M$21,IF(B18="brawl",E18+CharacterSheet!$E$6+CharacterSheet!$E$16,IF(B18="melee",E18+CharacterSheet!$M$15+CharacterSheet!$E$6,"Error"))))</f>
        <v>11</v>
      </c>
      <c r="G18" s="193" t="s">
        <v>117</v>
      </c>
      <c r="H18" s="193">
        <v>5</v>
      </c>
      <c r="I18" s="193">
        <f>IF(H18="--","--",IF(B18="brawl",(H18+CharacterSheet!$E$16+CharacterSheet!$E$7)/2+CharacterSheet!$G$7,IF(B18="melee",(H18+CharacterSheet!$E$7+CharacterSheet!$M$15)/2+CharacterSheet!$G$7,"--")))</f>
        <v>3</v>
      </c>
      <c r="J18" s="193">
        <v>4</v>
      </c>
      <c r="K18" s="193" t="s">
        <v>831</v>
      </c>
      <c r="L18" s="208" t="s">
        <v>831</v>
      </c>
      <c r="M18" s="136" t="s">
        <v>872</v>
      </c>
      <c r="N18" s="137">
        <v>5</v>
      </c>
      <c r="O18" s="137">
        <v>5</v>
      </c>
      <c r="P18" s="137">
        <v>2</v>
      </c>
      <c r="Q18" s="137">
        <v>0</v>
      </c>
      <c r="R18" s="162">
        <v>0</v>
      </c>
    </row>
    <row r="19" spans="1:18" x14ac:dyDescent="0.25">
      <c r="A19" s="192" t="s">
        <v>818</v>
      </c>
      <c r="B19" s="193" t="s">
        <v>830</v>
      </c>
      <c r="C19" s="193">
        <v>0</v>
      </c>
      <c r="D19" s="193">
        <f>IF(B19="Melee",C19+CharacterSheet!$E$7+CharacterSheet!$M$15,IF(B19="brawl",C19+CharacterSheet!$E$7+CharacterSheet!$E$16,IF(B19="Marks",C19+CharacterSheet!$E$7+CharacterSheet!$M$13,IF(B19="Thrown",C19+CharacterSheet!$E$7+CharacterSheet!$M$21,"Error"))))</f>
        <v>1</v>
      </c>
      <c r="E19" s="193">
        <v>30</v>
      </c>
      <c r="F19" s="193">
        <f>IF(B19="marks",E19+CharacterSheet!$M$13,IF(B19="thrown",E19+CharacterSheet!$M$21,IF(B19="brawl",E19+CharacterSheet!$E$6+CharacterSheet!$E$16,IF(B19="melee",E19+CharacterSheet!$M$15+CharacterSheet!$E$6,"Error"))))</f>
        <v>30</v>
      </c>
      <c r="G19" s="193" t="s">
        <v>117</v>
      </c>
      <c r="H19" s="193" t="s">
        <v>831</v>
      </c>
      <c r="I19" s="193" t="str">
        <f>IF(H19="--","--",IF(B19="brawl",(H19+CharacterSheet!$E$16+CharacterSheet!$E$7)/2+CharacterSheet!$G$7,IF(B19="melee",(H19+CharacterSheet!$E$7+CharacterSheet!$M$15)/2+CharacterSheet!$G$7,"--")))</f>
        <v>--</v>
      </c>
      <c r="J19" s="193">
        <v>6</v>
      </c>
      <c r="K19" s="193">
        <v>2000</v>
      </c>
      <c r="L19" s="208">
        <v>1</v>
      </c>
      <c r="M19" s="136" t="s">
        <v>878</v>
      </c>
      <c r="N19" s="137">
        <v>10</v>
      </c>
      <c r="O19" s="137">
        <v>7</v>
      </c>
      <c r="P19" s="137">
        <v>5</v>
      </c>
      <c r="Q19" s="137">
        <v>-2</v>
      </c>
      <c r="R19" s="162">
        <v>2</v>
      </c>
    </row>
    <row r="20" spans="1:18" x14ac:dyDescent="0.25">
      <c r="A20" s="192" t="s">
        <v>817</v>
      </c>
      <c r="B20" s="193" t="s">
        <v>830</v>
      </c>
      <c r="C20" s="193">
        <v>0</v>
      </c>
      <c r="D20" s="193">
        <f>IF(B20="Melee",C20+CharacterSheet!$E$7+CharacterSheet!$M$15,IF(B20="brawl",C20+CharacterSheet!$E$7+CharacterSheet!$E$16,IF(B20="Marks",C20+CharacterSheet!$E$7+CharacterSheet!$M$13,IF(B20="Thrown",C20+CharacterSheet!$E$7+CharacterSheet!$M$21,"Error"))))</f>
        <v>1</v>
      </c>
      <c r="E20" s="193">
        <v>25</v>
      </c>
      <c r="F20" s="193">
        <f>IF(B20="marks",E20+CharacterSheet!$M$13,IF(B20="thrown",E20+CharacterSheet!$M$21,IF(B20="brawl",E20+CharacterSheet!$E$6+CharacterSheet!$E$16,IF(B20="melee",E20+CharacterSheet!$M$15+CharacterSheet!$E$6,"Error"))))</f>
        <v>25</v>
      </c>
      <c r="G20" s="193" t="s">
        <v>117</v>
      </c>
      <c r="H20" s="193" t="s">
        <v>831</v>
      </c>
      <c r="I20" s="193" t="str">
        <f>IF(H20="--","--",IF(B20="brawl",(H20+CharacterSheet!$E$16+CharacterSheet!$E$7)/2+CharacterSheet!$G$7,IF(B20="melee",(H20+CharacterSheet!$E$7+CharacterSheet!$M$15)/2+CharacterSheet!$G$7,"--")))</f>
        <v>--</v>
      </c>
      <c r="J20" s="193">
        <v>6</v>
      </c>
      <c r="K20" s="193">
        <v>1000</v>
      </c>
      <c r="L20" s="208">
        <v>1</v>
      </c>
      <c r="M20" s="136" t="s">
        <v>874</v>
      </c>
      <c r="N20" s="137">
        <v>5</v>
      </c>
      <c r="O20" s="137">
        <v>5</v>
      </c>
      <c r="P20" s="137">
        <v>5</v>
      </c>
      <c r="Q20" s="137">
        <v>-1</v>
      </c>
      <c r="R20" s="162">
        <v>1</v>
      </c>
    </row>
    <row r="21" spans="1:18" x14ac:dyDescent="0.25">
      <c r="A21" s="192" t="s">
        <v>816</v>
      </c>
      <c r="B21" s="193" t="s">
        <v>830</v>
      </c>
      <c r="C21" s="193">
        <v>0</v>
      </c>
      <c r="D21" s="193">
        <f>IF(B21="Melee",C21+CharacterSheet!$E$7+CharacterSheet!$M$15,IF(B21="brawl",C21+CharacterSheet!$E$7+CharacterSheet!$E$16,IF(B21="Marks",C21+CharacterSheet!$E$7+CharacterSheet!$M$13,IF(B21="Thrown",C21+CharacterSheet!$E$7+CharacterSheet!$M$21,"Error"))))</f>
        <v>1</v>
      </c>
      <c r="E21" s="193">
        <v>15</v>
      </c>
      <c r="F21" s="193">
        <f>IF(B21="marks",E21+CharacterSheet!$M$13,IF(B21="thrown",E21+CharacterSheet!$M$21,IF(B21="brawl",E21+CharacterSheet!$E$6+CharacterSheet!$E$16,IF(B21="melee",E21+CharacterSheet!$M$15+CharacterSheet!$E$6,"Error"))))</f>
        <v>15</v>
      </c>
      <c r="G21" s="193" t="s">
        <v>117</v>
      </c>
      <c r="H21" s="193" t="s">
        <v>831</v>
      </c>
      <c r="I21" s="193" t="str">
        <f>IF(H21="--","--",IF(B21="brawl",(H21+CharacterSheet!$E$16+CharacterSheet!$E$7)/2+CharacterSheet!$G$7,IF(B21="melee",(H21+CharacterSheet!$E$7+CharacterSheet!$M$15)/2+CharacterSheet!$G$7,"--")))</f>
        <v>--</v>
      </c>
      <c r="J21" s="193">
        <v>6</v>
      </c>
      <c r="K21" s="193">
        <v>500</v>
      </c>
      <c r="L21" s="208">
        <v>1</v>
      </c>
      <c r="M21" s="136" t="s">
        <v>873</v>
      </c>
      <c r="N21" s="137">
        <v>6</v>
      </c>
      <c r="O21" s="137">
        <v>6</v>
      </c>
      <c r="P21" s="137">
        <v>4</v>
      </c>
      <c r="Q21" s="137">
        <v>0</v>
      </c>
      <c r="R21" s="162">
        <v>0</v>
      </c>
    </row>
    <row r="22" spans="1:18" x14ac:dyDescent="0.25">
      <c r="A22" s="192" t="s">
        <v>716</v>
      </c>
      <c r="B22" s="193" t="s">
        <v>39</v>
      </c>
      <c r="C22" s="193">
        <v>0</v>
      </c>
      <c r="D22" s="193">
        <f>IF(B22="Melee",C22+CharacterSheet!$E$7+CharacterSheet!$M$15,IF(B22="brawl",C22+CharacterSheet!$E$7+CharacterSheet!$E$16,IF(B22="Marks",C22+CharacterSheet!$E$7+CharacterSheet!$M$13,IF(B22="Thrown",C22+CharacterSheet!$E$7+CharacterSheet!$M$21,"Error"))))</f>
        <v>1</v>
      </c>
      <c r="E22" s="193">
        <v>0</v>
      </c>
      <c r="F22" s="193">
        <f>IF(B22="marks",E22+CharacterSheet!$M$13,IF(B22="thrown",E22+CharacterSheet!$M$21,IF(B22="brawl",E22+CharacterSheet!$E$6+CharacterSheet!$E$16,IF(B22="melee",E22+CharacterSheet!$M$15+CharacterSheet!$E$6,"Error"))))</f>
        <v>1</v>
      </c>
      <c r="G22" s="193" t="str">
        <f>IF(CharacterSheet!L34="Yes","L","B")</f>
        <v>B</v>
      </c>
      <c r="H22" s="29" t="s">
        <v>831</v>
      </c>
      <c r="I22" s="193" t="str">
        <f>IF(H22="--","--",IF(B22="brawl",(H22+CharacterSheet!$E$16+CharacterSheet!$E$7)/2+CharacterSheet!$G$7,IF(B22="melee",(H22+CharacterSheet!$E$7+CharacterSheet!$M$15)/2+CharacterSheet!$G$7,"--")))</f>
        <v>--</v>
      </c>
      <c r="J22" s="193">
        <v>6</v>
      </c>
      <c r="K22" s="193" t="s">
        <v>831</v>
      </c>
      <c r="L22" s="208" t="s">
        <v>831</v>
      </c>
      <c r="M22" s="136" t="s">
        <v>787</v>
      </c>
      <c r="N22" s="137">
        <v>10</v>
      </c>
      <c r="O22" s="137">
        <v>7</v>
      </c>
      <c r="P22" s="137">
        <v>0</v>
      </c>
      <c r="Q22" s="137">
        <v>-2</v>
      </c>
      <c r="R22" s="162">
        <v>2</v>
      </c>
    </row>
    <row r="23" spans="1:18" ht="15.75" thickBot="1" x14ac:dyDescent="0.3">
      <c r="A23" s="192" t="s">
        <v>801</v>
      </c>
      <c r="B23" s="193" t="s">
        <v>830</v>
      </c>
      <c r="C23" s="193">
        <v>2</v>
      </c>
      <c r="D23" s="193">
        <f>IF(B23="Melee",C23+CharacterSheet!$E$7+CharacterSheet!$M$15,IF(B23="brawl",C23+CharacterSheet!$E$7+CharacterSheet!$E$16,IF(B23="Marks",C23+CharacterSheet!$E$7+CharacterSheet!$M$13,IF(B23="Thrown",C23+CharacterSheet!$E$7+CharacterSheet!$M$21,"Error"))))</f>
        <v>3</v>
      </c>
      <c r="E23" s="193">
        <v>4</v>
      </c>
      <c r="F23" s="193">
        <f>IF(B23="marks",E23+CharacterSheet!$M$13,IF(B23="thrown",E23+CharacterSheet!$M$21,IF(B23="brawl",E23+CharacterSheet!$E$6+CharacterSheet!$E$16,IF(B23="melee",E23+CharacterSheet!$M$15+CharacterSheet!$E$6,"Error"))))</f>
        <v>4</v>
      </c>
      <c r="G23" s="193" t="s">
        <v>117</v>
      </c>
      <c r="H23" s="193" t="s">
        <v>831</v>
      </c>
      <c r="I23" s="193" t="str">
        <f>IF(H23="--","--",IF(B23="brawl",(H23+CharacterSheet!$E$16+CharacterSheet!$E$7)/2+CharacterSheet!$G$7,IF(B23="melee",(H23+CharacterSheet!$E$7+CharacterSheet!$M$15)/2+CharacterSheet!$G$7,"--")))</f>
        <v>--</v>
      </c>
      <c r="J23" s="193">
        <v>5</v>
      </c>
      <c r="K23" s="193">
        <v>20</v>
      </c>
      <c r="L23" s="208">
        <v>8</v>
      </c>
      <c r="M23" s="30" t="s">
        <v>788</v>
      </c>
      <c r="N23" s="145">
        <v>4</v>
      </c>
      <c r="O23" s="145">
        <v>2</v>
      </c>
      <c r="P23" s="145">
        <v>0</v>
      </c>
      <c r="Q23" s="145">
        <v>-1</v>
      </c>
      <c r="R23" s="174">
        <v>1</v>
      </c>
    </row>
    <row r="24" spans="1:18" x14ac:dyDescent="0.25">
      <c r="A24" s="192" t="s">
        <v>887</v>
      </c>
      <c r="B24" s="193" t="s">
        <v>48</v>
      </c>
      <c r="C24" s="193">
        <v>3</v>
      </c>
      <c r="D24" s="193">
        <f>IF(B24="Melee",C24+CharacterSheet!$E$7+CharacterSheet!$M$15,IF(B24="brawl",C24+CharacterSheet!$E$7+CharacterSheet!$E$16,IF(B24="Marks",C24+CharacterSheet!$E$7+CharacterSheet!$M$13,IF(B24="Thrown",C24+CharacterSheet!$E$7+CharacterSheet!$M$21,"Error"))))</f>
        <v>4</v>
      </c>
      <c r="E24" s="193">
        <v>6</v>
      </c>
      <c r="F24" s="193">
        <f>IF(B24="marks",E24+CharacterSheet!$M$13,IF(B24="thrown",E24+CharacterSheet!$M$21,IF(B24="brawl",E24+CharacterSheet!$E$6+CharacterSheet!$E$16,IF(B24="melee",E24+CharacterSheet!$M$15+CharacterSheet!$E$6,"Error"))))</f>
        <v>7</v>
      </c>
      <c r="G24" s="193" t="s">
        <v>117</v>
      </c>
      <c r="H24" s="193">
        <v>4</v>
      </c>
      <c r="I24" s="193">
        <f>IF(H24="--","--",IF(B24="brawl",(H24+CharacterSheet!$E$16+CharacterSheet!$E$7)/2+CharacterSheet!$G$7,IF(B24="melee",(H24+CharacterSheet!$E$7+CharacterSheet!$M$15)/2+CharacterSheet!$G$7,"--")))</f>
        <v>2.5</v>
      </c>
      <c r="J24" s="193">
        <v>4</v>
      </c>
      <c r="K24" s="193" t="s">
        <v>831</v>
      </c>
      <c r="L24" s="208" t="s">
        <v>831</v>
      </c>
      <c r="M24" s="31" t="s">
        <v>841</v>
      </c>
      <c r="N24" s="166"/>
      <c r="O24" s="166"/>
      <c r="P24" s="166"/>
      <c r="Q24" s="166"/>
      <c r="R24" s="166"/>
    </row>
    <row r="25" spans="1:18" x14ac:dyDescent="0.25">
      <c r="A25" s="192" t="s">
        <v>740</v>
      </c>
      <c r="B25" s="193" t="s">
        <v>830</v>
      </c>
      <c r="C25" s="193">
        <v>1</v>
      </c>
      <c r="D25" s="193">
        <f>IF(B25="Melee",C25+CharacterSheet!$E$7+CharacterSheet!$M$15,IF(B25="brawl",C25+CharacterSheet!$E$7+CharacterSheet!$E$16,IF(B25="Marks",C25+CharacterSheet!$E$7+CharacterSheet!$M$13,IF(B25="Thrown",C25+CharacterSheet!$E$7+CharacterSheet!$M$21,"Error"))))</f>
        <v>2</v>
      </c>
      <c r="E25" s="193">
        <v>2</v>
      </c>
      <c r="F25" s="193">
        <f>IF(B25="marks",E25+CharacterSheet!$M$13,IF(B25="thrown",E25+CharacterSheet!$M$21,IF(B25="brawl",E25+CharacterSheet!$E$6+CharacterSheet!$E$16,IF(B25="melee",E25+CharacterSheet!$M$15+CharacterSheet!$E$6,"Error"))))</f>
        <v>2</v>
      </c>
      <c r="G25" s="193" t="s">
        <v>117</v>
      </c>
      <c r="H25" s="193" t="s">
        <v>831</v>
      </c>
      <c r="I25" s="193" t="str">
        <f>IF(H25="--","--",IF(B25="brawl",(H25+CharacterSheet!$E$16+CharacterSheet!$E$7)/2+CharacterSheet!$G$7,IF(B25="melee",(H25+CharacterSheet!$E$7+CharacterSheet!$M$15)/2+CharacterSheet!$G$7,"--")))</f>
        <v>--</v>
      </c>
      <c r="J25" s="193">
        <v>6</v>
      </c>
      <c r="K25" s="193">
        <v>30</v>
      </c>
      <c r="L25" s="208" t="s">
        <v>831</v>
      </c>
      <c r="M25" s="32" t="s">
        <v>842</v>
      </c>
      <c r="N25" s="169"/>
      <c r="O25" s="169"/>
      <c r="P25" s="169"/>
      <c r="Q25" s="169"/>
      <c r="R25" s="169"/>
    </row>
    <row r="26" spans="1:18" ht="15.75" thickBot="1" x14ac:dyDescent="0.3">
      <c r="A26" s="192" t="s">
        <v>741</v>
      </c>
      <c r="B26" s="193" t="s">
        <v>830</v>
      </c>
      <c r="C26" s="193">
        <v>0</v>
      </c>
      <c r="D26" s="193">
        <f>IF(B26="Melee",C26+CharacterSheet!$E$7+CharacterSheet!$M$15,IF(B26="brawl",C26+CharacterSheet!$E$7+CharacterSheet!$E$16,IF(B26="Marks",C26+CharacterSheet!$E$7+CharacterSheet!$M$13,IF(B26="Thrown",C26+CharacterSheet!$E$7+CharacterSheet!$M$21,"Error"))))</f>
        <v>1</v>
      </c>
      <c r="E26" s="193">
        <v>3</v>
      </c>
      <c r="F26" s="193">
        <f>IF(B26="marks",E26+CharacterSheet!$M$13,IF(B26="thrown",E26+CharacterSheet!$M$21,IF(B26="brawl",E26+CharacterSheet!$E$6+CharacterSheet!$E$16,IF(B26="melee",E26+CharacterSheet!$M$15+CharacterSheet!$E$6,"Error"))))</f>
        <v>3</v>
      </c>
      <c r="G26" s="193" t="s">
        <v>117</v>
      </c>
      <c r="H26" s="193" t="s">
        <v>831</v>
      </c>
      <c r="I26" s="193" t="str">
        <f>IF(H26="--","--",IF(B26="brawl",(H26+CharacterSheet!$E$16+CharacterSheet!$E$7)/2+CharacterSheet!$G$7,IF(B26="melee",(H26+CharacterSheet!$E$7+CharacterSheet!$M$15)/2+CharacterSheet!$G$7,"--")))</f>
        <v>--</v>
      </c>
      <c r="J26" s="193">
        <v>6</v>
      </c>
      <c r="K26" s="193">
        <v>40</v>
      </c>
      <c r="L26" s="208" t="s">
        <v>831</v>
      </c>
      <c r="M26" s="33" t="s">
        <v>843</v>
      </c>
      <c r="N26" s="170"/>
      <c r="O26" s="170"/>
      <c r="P26" s="170"/>
      <c r="Q26" s="170"/>
      <c r="R26" s="169"/>
    </row>
    <row r="27" spans="1:18" x14ac:dyDescent="0.25">
      <c r="A27" s="192" t="s">
        <v>742</v>
      </c>
      <c r="B27" s="193" t="s">
        <v>54</v>
      </c>
      <c r="C27" s="193">
        <v>-1</v>
      </c>
      <c r="D27" s="193">
        <f>IF(B27="Melee",C27+CharacterSheet!$E$7+CharacterSheet!$M$15,IF(B27="brawl",C27+CharacterSheet!$E$7+CharacterSheet!$E$16,IF(B27="Marks",C27+CharacterSheet!$E$7+CharacterSheet!$M$13,IF(B27="Thrown",C27+CharacterSheet!$E$7+CharacterSheet!$M$21,"Error"))))</f>
        <v>0</v>
      </c>
      <c r="E27" s="193">
        <v>1</v>
      </c>
      <c r="F27" s="193">
        <f>IF(B27="marks",E27+CharacterSheet!$M$13,IF(B27="thrown",E27+CharacterSheet!$M$21,IF(B27="brawl",E27+CharacterSheet!$E$6+CharacterSheet!$E$16,IF(B27="melee",E27+CharacterSheet!$M$15+CharacterSheet!$E$6,"Error"))))</f>
        <v>1</v>
      </c>
      <c r="G27" s="193" t="s">
        <v>117</v>
      </c>
      <c r="H27" s="193" t="s">
        <v>831</v>
      </c>
      <c r="I27" s="193" t="str">
        <f>IF(H27="--","--",IF(B27="brawl",(H27+CharacterSheet!$E$16+CharacterSheet!$E$7)/2+CharacterSheet!$G$7,IF(B27="melee",(H27+CharacterSheet!$E$7+CharacterSheet!$M$15)/2+CharacterSheet!$G$7,"--")))</f>
        <v>--</v>
      </c>
      <c r="J27" s="193">
        <v>6</v>
      </c>
      <c r="K27" s="193">
        <f>IF(CharacterSheet!$R$33="Yes",10*LOOKUP(CharacterSheet!$F$6,Reference!$H$2:$H$12,Reference!$J$2:$J$12)*2,10*LOOKUP(CharacterSheet!$F$6,Reference!$H$2:$H$12,Reference!$J$2:$J$12))</f>
        <v>10</v>
      </c>
      <c r="L27" s="208" t="s">
        <v>831</v>
      </c>
      <c r="M27" s="34" t="s">
        <v>714</v>
      </c>
      <c r="N27" s="175" t="s">
        <v>92</v>
      </c>
      <c r="O27" s="175" t="s">
        <v>764</v>
      </c>
      <c r="P27" s="175" t="s">
        <v>765</v>
      </c>
      <c r="Q27" s="176" t="s">
        <v>766</v>
      </c>
    </row>
    <row r="28" spans="1:18" x14ac:dyDescent="0.25">
      <c r="A28" s="192" t="s">
        <v>748</v>
      </c>
      <c r="B28" s="193" t="s">
        <v>830</v>
      </c>
      <c r="C28" s="193">
        <v>0</v>
      </c>
      <c r="D28" s="193">
        <f>IF(B28="Melee",C28+CharacterSheet!$E$7+CharacterSheet!$M$15,IF(B28="brawl",C28+CharacterSheet!$E$7+CharacterSheet!$E$16,IF(B28="Marks",C28+CharacterSheet!$E$7+CharacterSheet!$M$13,IF(B28="Thrown",C28+CharacterSheet!$E$7+CharacterSheet!$M$21,"Error"))))</f>
        <v>1</v>
      </c>
      <c r="E28" s="193">
        <v>5</v>
      </c>
      <c r="F28" s="193">
        <f>IF(B28="marks",E28+CharacterSheet!$M$13,IF(B28="thrown",E28+CharacterSheet!$M$21,IF(B28="brawl",E28+CharacterSheet!$E$6+CharacterSheet!$E$16,IF(B28="melee",E28+CharacterSheet!$M$15+CharacterSheet!$E$6,"Error"))))</f>
        <v>5</v>
      </c>
      <c r="G28" s="193" t="s">
        <v>117</v>
      </c>
      <c r="H28" s="193" t="s">
        <v>831</v>
      </c>
      <c r="I28" s="193" t="str">
        <f>IF(H28="--","--",IF(B28="brawl",(H28+CharacterSheet!$E$16+CharacterSheet!$E$7)/2+CharacterSheet!$G$7,IF(B28="melee",(H28+CharacterSheet!$E$7+CharacterSheet!$M$15)/2+CharacterSheet!$G$7,"--")))</f>
        <v>--</v>
      </c>
      <c r="J28" s="193">
        <v>5</v>
      </c>
      <c r="K28" s="193">
        <v>50</v>
      </c>
      <c r="L28" s="208">
        <v>7</v>
      </c>
      <c r="M28" s="167" t="s">
        <v>767</v>
      </c>
      <c r="N28" s="137">
        <v>12</v>
      </c>
      <c r="O28" s="137">
        <v>4</v>
      </c>
      <c r="P28" s="137">
        <v>-1</v>
      </c>
      <c r="Q28" s="162">
        <v>30</v>
      </c>
    </row>
    <row r="29" spans="1:18" x14ac:dyDescent="0.25">
      <c r="A29" s="192" t="s">
        <v>781</v>
      </c>
      <c r="B29" s="193" t="s">
        <v>54</v>
      </c>
      <c r="C29" s="193">
        <v>0</v>
      </c>
      <c r="D29" s="193">
        <f>IF(B29="Melee",C29+CharacterSheet!$E$7+CharacterSheet!$M$15,IF(B29="brawl",C29+CharacterSheet!$E$7+CharacterSheet!$E$16,IF(B29="Marks",C29+CharacterSheet!$E$7+CharacterSheet!$M$13,IF(B29="Thrown",C29+CharacterSheet!$E$7+CharacterSheet!$M$21,"Error"))))</f>
        <v>1</v>
      </c>
      <c r="E29" s="193">
        <v>2</v>
      </c>
      <c r="F29" s="193">
        <f>IF(B29="marks",E29+CharacterSheet!$M$13,IF(B29="thrown",E29+CharacterSheet!$M$21,IF(B29="brawl",E29+CharacterSheet!$E$6+CharacterSheet!$E$16,IF(B29="melee",E29+CharacterSheet!$M$15+CharacterSheet!$E$6,"Error"))))</f>
        <v>2</v>
      </c>
      <c r="G29" s="193" t="s">
        <v>117</v>
      </c>
      <c r="H29" s="193" t="s">
        <v>831</v>
      </c>
      <c r="I29" s="193" t="str">
        <f>IF(H29="--","--",IF(B29="brawl",(H29+CharacterSheet!$E$16+CharacterSheet!$E$7)/2+CharacterSheet!$G$7,IF(B29="melee",(H29+CharacterSheet!$E$7+CharacterSheet!$M$15)/2+CharacterSheet!$G$7,"--")))</f>
        <v>--</v>
      </c>
      <c r="J29" s="193">
        <v>6</v>
      </c>
      <c r="K29" s="193">
        <f>IF(CharacterSheet!$R$33="Yes",30*LOOKUP(CharacterSheet!$F$6,Reference!$H$2:$H$12,Reference!$J$2:$J$12)*2,30*LOOKUP(CharacterSheet!$F$6,Reference!$H$2:$H$12,Reference!$J$2:$J$12))</f>
        <v>30</v>
      </c>
      <c r="L29" s="208" t="s">
        <v>831</v>
      </c>
      <c r="M29" s="167" t="s">
        <v>789</v>
      </c>
      <c r="N29" s="137">
        <v>4</v>
      </c>
      <c r="O29" s="137">
        <v>1</v>
      </c>
      <c r="P29" s="137">
        <v>3</v>
      </c>
      <c r="Q29" s="162">
        <v>10</v>
      </c>
    </row>
    <row r="30" spans="1:18" x14ac:dyDescent="0.25">
      <c r="A30" s="192" t="s">
        <v>864</v>
      </c>
      <c r="B30" s="193" t="s">
        <v>48</v>
      </c>
      <c r="C30" s="193">
        <v>3</v>
      </c>
      <c r="D30" s="193">
        <f>IF(B30="Melee",C30+CharacterSheet!$E$7+CharacterSheet!$M$15,IF(B30="brawl",C30+CharacterSheet!$E$7+CharacterSheet!$E$16,IF(B30="Marks",C30+CharacterSheet!$E$7+CharacterSheet!$M$13,IF(B30="Thrown",C30+CharacterSheet!$E$7+CharacterSheet!$M$21,"Error"))))</f>
        <v>4</v>
      </c>
      <c r="E30" s="193">
        <v>5</v>
      </c>
      <c r="F30" s="193">
        <f>IF(B30="marks",E30+CharacterSheet!$M$13,IF(B30="thrown",E30+CharacterSheet!$M$21,IF(B30="brawl",E30+CharacterSheet!$E$6+CharacterSheet!$E$16,IF(B30="melee",E30+CharacterSheet!$M$15+CharacterSheet!$E$6,"Error"))))</f>
        <v>6</v>
      </c>
      <c r="G30" s="193" t="s">
        <v>117</v>
      </c>
      <c r="H30" s="193">
        <v>3</v>
      </c>
      <c r="I30" s="193">
        <f>IF(H30="--","--",IF(B30="brawl",(H30+CharacterSheet!$E$16+CharacterSheet!$E$7)/2+CharacterSheet!$G$7,IF(B30="melee",(H30+CharacterSheet!$E$7+CharacterSheet!$M$15)/2+CharacterSheet!$G$7,"--")))</f>
        <v>2</v>
      </c>
      <c r="J30" s="193">
        <v>4</v>
      </c>
      <c r="K30" s="29" t="s">
        <v>831</v>
      </c>
      <c r="L30" s="35" t="s">
        <v>831</v>
      </c>
      <c r="M30" s="167" t="s">
        <v>824</v>
      </c>
      <c r="N30" s="137">
        <v>10</v>
      </c>
      <c r="O30" s="137">
        <v>18</v>
      </c>
      <c r="P30" s="137">
        <v>-4</v>
      </c>
      <c r="Q30" s="162">
        <v>40</v>
      </c>
    </row>
    <row r="31" spans="1:18" x14ac:dyDescent="0.25">
      <c r="A31" s="192" t="s">
        <v>865</v>
      </c>
      <c r="B31" s="193" t="s">
        <v>830</v>
      </c>
      <c r="C31" s="193">
        <v>4</v>
      </c>
      <c r="D31" s="193">
        <f>IF(B31="Melee",C31+CharacterSheet!$E$7+CharacterSheet!$M$15,IF(B31="brawl",C31+CharacterSheet!$E$7+CharacterSheet!$E$16,IF(B31="Marks",C31+CharacterSheet!$E$7+CharacterSheet!$M$13,IF(B31="Thrown",C31+CharacterSheet!$E$7+CharacterSheet!$M$21,"Error"))))</f>
        <v>5</v>
      </c>
      <c r="E31" s="193">
        <v>5</v>
      </c>
      <c r="F31" s="193">
        <f>IF(B31="marks",E31+CharacterSheet!$M$13,IF(B31="thrown",E31+CharacterSheet!$M$21,IF(B31="brawl",E31+CharacterSheet!$E$6+CharacterSheet!$E$16,IF(B31="melee",E31+CharacterSheet!$M$15+CharacterSheet!$E$6,"Error"))))</f>
        <v>5</v>
      </c>
      <c r="G31" s="193" t="s">
        <v>117</v>
      </c>
      <c r="H31" s="29" t="s">
        <v>831</v>
      </c>
      <c r="I31" s="193" t="str">
        <f>IF(H31="--","--",IF(B31="brawl",(H31+CharacterSheet!$E$16+CharacterSheet!$E$7)/2+CharacterSheet!$G$7,IF(B31="melee",(H31+CharacterSheet!$E$7+CharacterSheet!$M$15)/2+CharacterSheet!$G$7,"--")))</f>
        <v>--</v>
      </c>
      <c r="J31" s="193">
        <v>4</v>
      </c>
      <c r="K31" s="29">
        <v>30</v>
      </c>
      <c r="L31" s="35" t="s">
        <v>831</v>
      </c>
      <c r="M31" s="167" t="s">
        <v>825</v>
      </c>
      <c r="N31" s="137">
        <v>15</v>
      </c>
      <c r="O31" s="137">
        <v>14000</v>
      </c>
      <c r="P31" s="137">
        <v>-10</v>
      </c>
      <c r="Q31" s="162">
        <v>25000</v>
      </c>
    </row>
    <row r="32" spans="1:18" x14ac:dyDescent="0.25">
      <c r="A32" s="192" t="s">
        <v>777</v>
      </c>
      <c r="B32" s="193" t="s">
        <v>48</v>
      </c>
      <c r="C32" s="193">
        <v>1</v>
      </c>
      <c r="D32" s="193">
        <f>IF(B32="Melee",C32+CharacterSheet!$E$7+CharacterSheet!$M$15,IF(B32="brawl",C32+CharacterSheet!$E$7+CharacterSheet!$E$16,IF(B32="Marks",C32+CharacterSheet!$E$7+CharacterSheet!$M$13,IF(B32="Thrown",C32+CharacterSheet!$E$7+CharacterSheet!$M$21,"Error"))))</f>
        <v>2</v>
      </c>
      <c r="E32" s="193">
        <v>6</v>
      </c>
      <c r="F32" s="193">
        <f>IF(B32="marks",E32+CharacterSheet!$M$13,IF(B32="thrown",E32+CharacterSheet!$M$21,IF(B32="brawl",E32+CharacterSheet!$E$6+CharacterSheet!$E$16,IF(B32="melee",E32+CharacterSheet!$M$15+CharacterSheet!$E$6,"Error"))))</f>
        <v>7</v>
      </c>
      <c r="G32" s="193" t="s">
        <v>833</v>
      </c>
      <c r="H32" s="193">
        <v>2</v>
      </c>
      <c r="I32" s="193">
        <f>IF(H32="--","--",IF(B32="brawl",(H32+CharacterSheet!$E$16+CharacterSheet!$E$7)/2+CharacterSheet!$G$7,IF(B32="melee",(H32+CharacterSheet!$E$7+CharacterSheet!$M$15)/2+CharacterSheet!$G$7,"--")))</f>
        <v>1.5</v>
      </c>
      <c r="J32" s="193">
        <v>5</v>
      </c>
      <c r="K32" s="193" t="s">
        <v>831</v>
      </c>
      <c r="L32" s="208" t="s">
        <v>831</v>
      </c>
      <c r="M32" s="167" t="s">
        <v>790</v>
      </c>
      <c r="N32" s="137">
        <v>1</v>
      </c>
      <c r="O32" s="137">
        <v>0</v>
      </c>
      <c r="P32" s="137">
        <v>0</v>
      </c>
      <c r="Q32" s="162">
        <v>3</v>
      </c>
    </row>
    <row r="33" spans="1:17" x14ac:dyDescent="0.25">
      <c r="A33" s="192" t="s">
        <v>750</v>
      </c>
      <c r="B33" s="193" t="s">
        <v>830</v>
      </c>
      <c r="C33" s="193">
        <v>1</v>
      </c>
      <c r="D33" s="193">
        <f>IF(B33="Melee",C33+CharacterSheet!$E$7+CharacterSheet!$M$15,IF(B33="brawl",C33+CharacterSheet!$E$7+CharacterSheet!$E$16,IF(B33="Marks",C33+CharacterSheet!$E$7+CharacterSheet!$M$13,IF(B33="Thrown",C33+CharacterSheet!$E$7+CharacterSheet!$M$21,"Error"))))</f>
        <v>2</v>
      </c>
      <c r="E33" s="193">
        <v>3</v>
      </c>
      <c r="F33" s="193">
        <f>IF(B33="marks",E33+CharacterSheet!$M$13,IF(B33="thrown",E33+CharacterSheet!$M$21,IF(B33="brawl",E33+CharacterSheet!$E$6+CharacterSheet!$E$16,IF(B33="melee",E33+CharacterSheet!$M$15+CharacterSheet!$E$6,"Error"))))</f>
        <v>3</v>
      </c>
      <c r="G33" s="193" t="s">
        <v>117</v>
      </c>
      <c r="H33" s="193" t="s">
        <v>831</v>
      </c>
      <c r="I33" s="193" t="str">
        <f>IF(H33="--","--",IF(B33="brawl",(H33+CharacterSheet!$E$16+CharacterSheet!$E$7)/2+CharacterSheet!$G$7,IF(B33="melee",(H33+CharacterSheet!$E$7+CharacterSheet!$M$15)/2+CharacterSheet!$G$7,"--")))</f>
        <v>--</v>
      </c>
      <c r="J33" s="193">
        <v>5</v>
      </c>
      <c r="K33" s="193">
        <v>50</v>
      </c>
      <c r="L33" s="208">
        <v>50</v>
      </c>
      <c r="M33" s="167" t="s">
        <v>826</v>
      </c>
      <c r="N33" s="137">
        <v>10</v>
      </c>
      <c r="O33" s="137">
        <v>10</v>
      </c>
      <c r="P33" s="137">
        <v>-4</v>
      </c>
      <c r="Q33" s="162">
        <v>20</v>
      </c>
    </row>
    <row r="34" spans="1:17" x14ac:dyDescent="0.25">
      <c r="A34" s="192" t="s">
        <v>902</v>
      </c>
      <c r="B34" s="193" t="s">
        <v>830</v>
      </c>
      <c r="C34" s="193">
        <v>3</v>
      </c>
      <c r="D34" s="193">
        <f>IF(B34="Melee",C34+CharacterSheet!$E$7+CharacterSheet!$M$15,IF(B34="brawl",C34+CharacterSheet!$E$7+CharacterSheet!$E$16,IF(B34="Marks",C34+CharacterSheet!$E$7+CharacterSheet!$M$13,IF(B34="Thrown",C34+CharacterSheet!$E$7+CharacterSheet!$M$21,"Error"))))</f>
        <v>4</v>
      </c>
      <c r="E34" s="193">
        <v>3</v>
      </c>
      <c r="F34" s="193">
        <f>IF(B34="marks",E34+CharacterSheet!$M$13,IF(B34="thrown",E34+CharacterSheet!$M$21,IF(B34="brawl",E34+CharacterSheet!$E$6+CharacterSheet!$E$16,IF(B34="melee",E34+CharacterSheet!$M$15+CharacterSheet!$E$6,"Error"))))</f>
        <v>3</v>
      </c>
      <c r="G34" s="193" t="s">
        <v>117</v>
      </c>
      <c r="H34" s="193" t="s">
        <v>831</v>
      </c>
      <c r="I34" s="193" t="str">
        <f>IF(H34="--","--",IF(B34="brawl",(H34+CharacterSheet!$E$16+CharacterSheet!$E$7)/2+CharacterSheet!$G$7,IF(B34="melee",(H34+CharacterSheet!$E$7+CharacterSheet!$M$15)/2+CharacterSheet!$G$7,"--")))</f>
        <v>--</v>
      </c>
      <c r="J34" s="193">
        <v>5</v>
      </c>
      <c r="K34" s="29">
        <v>40</v>
      </c>
      <c r="L34" s="208" t="s">
        <v>831</v>
      </c>
      <c r="M34" s="167" t="s">
        <v>791</v>
      </c>
      <c r="N34" s="137">
        <v>1</v>
      </c>
      <c r="O34" s="137">
        <v>1</v>
      </c>
      <c r="P34" s="137">
        <v>-1</v>
      </c>
      <c r="Q34" s="162">
        <v>2</v>
      </c>
    </row>
    <row r="35" spans="1:17" x14ac:dyDescent="0.25">
      <c r="A35" s="192" t="s">
        <v>776</v>
      </c>
      <c r="B35" s="193" t="s">
        <v>48</v>
      </c>
      <c r="C35" s="193">
        <v>0</v>
      </c>
      <c r="D35" s="193">
        <f>IF(B35="Melee",C35+CharacterSheet!$E$7+CharacterSheet!$M$15,IF(B35="brawl",C35+CharacterSheet!$E$7+CharacterSheet!$E$16,IF(B35="Marks",C35+CharacterSheet!$E$7+CharacterSheet!$M$13,IF(B35="Thrown",C35+CharacterSheet!$E$7+CharacterSheet!$M$21,"Error"))))</f>
        <v>1</v>
      </c>
      <c r="E35" s="193">
        <v>2</v>
      </c>
      <c r="F35" s="193">
        <f>IF(B35="marks",E35+CharacterSheet!$M$13,IF(B35="thrown",E35+CharacterSheet!$M$21,IF(B35="brawl",E35+CharacterSheet!$E$6+CharacterSheet!$E$16,IF(B35="melee",E35+CharacterSheet!$M$15+CharacterSheet!$E$6,"Error"))))</f>
        <v>3</v>
      </c>
      <c r="G35" s="193" t="s">
        <v>117</v>
      </c>
      <c r="H35" s="193">
        <v>0</v>
      </c>
      <c r="I35" s="193">
        <f>IF(H35="--","--",IF(B35="brawl",(H35+CharacterSheet!$E$16+CharacterSheet!$E$7)/2+CharacterSheet!$G$7,IF(B35="melee",(H35+CharacterSheet!$E$7+CharacterSheet!$M$15)/2+CharacterSheet!$G$7,"--")))</f>
        <v>0.5</v>
      </c>
      <c r="J35" s="193">
        <v>3</v>
      </c>
      <c r="K35" s="193" t="s">
        <v>831</v>
      </c>
      <c r="L35" s="208" t="s">
        <v>831</v>
      </c>
      <c r="M35" s="167" t="s">
        <v>768</v>
      </c>
      <c r="N35" s="137">
        <v>6</v>
      </c>
      <c r="O35" s="137">
        <v>2</v>
      </c>
      <c r="P35" s="137">
        <v>1</v>
      </c>
      <c r="Q35" s="162">
        <v>18</v>
      </c>
    </row>
    <row r="36" spans="1:17" x14ac:dyDescent="0.25">
      <c r="A36" s="192" t="s">
        <v>747</v>
      </c>
      <c r="B36" s="193" t="s">
        <v>830</v>
      </c>
      <c r="C36" s="193">
        <v>1</v>
      </c>
      <c r="D36" s="193">
        <f>IF(B36="Melee",C36+CharacterSheet!$E$7+CharacterSheet!$M$15,IF(B36="brawl",C36+CharacterSheet!$E$7+CharacterSheet!$E$16,IF(B36="Marks",C36+CharacterSheet!$E$7+CharacterSheet!$M$13,IF(B36="Thrown",C36+CharacterSheet!$E$7+CharacterSheet!$M$21,"Error"))))</f>
        <v>2</v>
      </c>
      <c r="E36" s="193">
        <v>3</v>
      </c>
      <c r="F36" s="193">
        <f>IF(B36="marks",E36+CharacterSheet!$M$13,IF(B36="thrown",E36+CharacterSheet!$M$21,IF(B36="brawl",E36+CharacterSheet!$E$6+CharacterSheet!$E$16,IF(B36="melee",E36+CharacterSheet!$M$15+CharacterSheet!$E$6,"Error"))))</f>
        <v>3</v>
      </c>
      <c r="G36" s="193" t="s">
        <v>117</v>
      </c>
      <c r="H36" s="193" t="s">
        <v>831</v>
      </c>
      <c r="I36" s="193" t="str">
        <f>IF(H36="--","--",IF(B36="brawl",(H36+CharacterSheet!$E$16+CharacterSheet!$E$7)/2+CharacterSheet!$G$7,IF(B36="melee",(H36+CharacterSheet!$E$7+CharacterSheet!$M$15)/2+CharacterSheet!$G$7,"--")))</f>
        <v>--</v>
      </c>
      <c r="J36" s="193">
        <v>4</v>
      </c>
      <c r="K36" s="193">
        <v>20</v>
      </c>
      <c r="L36" s="208">
        <v>15</v>
      </c>
      <c r="M36" s="167" t="s">
        <v>792</v>
      </c>
      <c r="N36" s="137">
        <v>1</v>
      </c>
      <c r="O36" s="137">
        <v>0</v>
      </c>
      <c r="P36" s="137">
        <v>-1</v>
      </c>
      <c r="Q36" s="162">
        <v>2</v>
      </c>
    </row>
    <row r="37" spans="1:17" x14ac:dyDescent="0.25">
      <c r="A37" s="192" t="s">
        <v>751</v>
      </c>
      <c r="B37" s="193" t="s">
        <v>830</v>
      </c>
      <c r="C37" s="193">
        <v>0</v>
      </c>
      <c r="D37" s="193">
        <f>IF(B37="Melee",C37+CharacterSheet!$E$7+CharacterSheet!$M$15,IF(B37="brawl",C37+CharacterSheet!$E$7+CharacterSheet!$E$16,IF(B37="Marks",C37+CharacterSheet!$E$7+CharacterSheet!$M$13,IF(B37="Thrown",C37+CharacterSheet!$E$7+CharacterSheet!$M$21,"Error"))))</f>
        <v>1</v>
      </c>
      <c r="E37" s="193">
        <v>3</v>
      </c>
      <c r="F37" s="193">
        <f>IF(B37="marks",E37+CharacterSheet!$M$13,IF(B37="thrown",E37+CharacterSheet!$M$21,IF(B37="brawl",E37+CharacterSheet!$E$6+CharacterSheet!$E$16,IF(B37="melee",E37+CharacterSheet!$M$15+CharacterSheet!$E$6,"Error"))))</f>
        <v>3</v>
      </c>
      <c r="G37" s="193" t="s">
        <v>117</v>
      </c>
      <c r="H37" s="193" t="s">
        <v>831</v>
      </c>
      <c r="I37" s="193" t="str">
        <f>IF(H37="--","--",IF(B37="brawl",(H37+CharacterSheet!$E$16+CharacterSheet!$E$7)/2+CharacterSheet!$G$7,IF(B37="melee",(H37+CharacterSheet!$E$7+CharacterSheet!$M$15)/2+CharacterSheet!$G$7,"--")))</f>
        <v>--</v>
      </c>
      <c r="J37" s="193">
        <v>5</v>
      </c>
      <c r="K37" s="193">
        <v>30</v>
      </c>
      <c r="L37" s="208">
        <v>30</v>
      </c>
      <c r="M37" s="167" t="s">
        <v>793</v>
      </c>
      <c r="N37" s="137">
        <v>5</v>
      </c>
      <c r="O37" s="137">
        <v>5</v>
      </c>
      <c r="P37" s="137">
        <v>2</v>
      </c>
      <c r="Q37" s="162">
        <v>20</v>
      </c>
    </row>
    <row r="38" spans="1:17" x14ac:dyDescent="0.25">
      <c r="A38" s="192" t="s">
        <v>717</v>
      </c>
      <c r="B38" s="193" t="s">
        <v>48</v>
      </c>
      <c r="C38" s="193">
        <v>1</v>
      </c>
      <c r="D38" s="193">
        <f>IF(B38="Melee",C38+CharacterSheet!$E$7+CharacterSheet!$M$15,IF(B38="brawl",C38+CharacterSheet!$E$7+CharacterSheet!$E$16,IF(B38="Marks",C38+CharacterSheet!$E$7+CharacterSheet!$M$13,IF(B38="Thrown",C38+CharacterSheet!$E$7+CharacterSheet!$M$21,"Error"))))</f>
        <v>2</v>
      </c>
      <c r="E38" s="193">
        <v>2</v>
      </c>
      <c r="F38" s="193">
        <f>IF(B38="marks",E38+CharacterSheet!$M$13,IF(B38="thrown",E38+CharacterSheet!$M$21,IF(B38="brawl",E38+CharacterSheet!$E$6+CharacterSheet!$E$16,IF(B38="melee",E38+CharacterSheet!$M$15+CharacterSheet!$E$6,"Error"))))</f>
        <v>3</v>
      </c>
      <c r="G38" s="193" t="s">
        <v>117</v>
      </c>
      <c r="H38" s="193">
        <v>0</v>
      </c>
      <c r="I38" s="193">
        <f>IF(H38="--","--",IF(B38="brawl",(H38+CharacterSheet!$E$16+CharacterSheet!$E$7)/2+CharacterSheet!$G$7,IF(B38="melee",(H38+CharacterSheet!$E$7+CharacterSheet!$M$15)/2+CharacterSheet!$G$7,"--")))</f>
        <v>0.5</v>
      </c>
      <c r="J38" s="193">
        <v>4</v>
      </c>
      <c r="K38" s="193" t="s">
        <v>831</v>
      </c>
      <c r="L38" s="208" t="s">
        <v>831</v>
      </c>
      <c r="M38" s="167" t="s">
        <v>794</v>
      </c>
      <c r="N38" s="137">
        <v>15</v>
      </c>
      <c r="O38" s="137">
        <v>15</v>
      </c>
      <c r="P38" s="137">
        <v>-3</v>
      </c>
      <c r="Q38" s="162">
        <v>60</v>
      </c>
    </row>
    <row r="39" spans="1:17" x14ac:dyDescent="0.25">
      <c r="A39" s="192" t="s">
        <v>819</v>
      </c>
      <c r="B39" s="193" t="s">
        <v>54</v>
      </c>
      <c r="C39" s="193">
        <v>0</v>
      </c>
      <c r="D39" s="193">
        <f>IF(B39="Melee",C39+CharacterSheet!$E$7+CharacterSheet!$M$15,IF(B39="brawl",C39+CharacterSheet!$E$7+CharacterSheet!$E$16,IF(B39="Marks",C39+CharacterSheet!$E$7+CharacterSheet!$M$13,IF(B39="Thrown",C39+CharacterSheet!$E$7+CharacterSheet!$M$21,"Error"))))</f>
        <v>1</v>
      </c>
      <c r="E39" s="193">
        <v>15</v>
      </c>
      <c r="F39" s="193">
        <f>IF(B39="marks",E39+CharacterSheet!$M$13,IF(B39="thrown",E39+CharacterSheet!$M$21,IF(B39="brawl",E39+CharacterSheet!$E$6+CharacterSheet!$E$16,IF(B39="melee",E39+CharacterSheet!$M$15+CharacterSheet!$E$6,"Error"))))</f>
        <v>15</v>
      </c>
      <c r="G39" s="193" t="s">
        <v>117</v>
      </c>
      <c r="H39" s="193" t="s">
        <v>831</v>
      </c>
      <c r="I39" s="193" t="str">
        <f>IF(H39="--","--",IF(B39="brawl",(H39+CharacterSheet!$E$16+CharacterSheet!$E$7)/2+CharacterSheet!$G$7,IF(B39="melee",(H39+CharacterSheet!$E$7+CharacterSheet!$M$15)/2+CharacterSheet!$G$7,"--")))</f>
        <v>--</v>
      </c>
      <c r="J39" s="193">
        <v>5</v>
      </c>
      <c r="K39" s="193">
        <f>IF(CharacterSheet!$R$33="Yes",15*LOOKUP(CharacterSheet!$F$6,Reference!$H$2:$H$12,Reference!$J$2:$J$12)*2,15*LOOKUP(CharacterSheet!$F$6,Reference!$H$2:$H$12,Reference!$J$2:$J$12))</f>
        <v>15</v>
      </c>
      <c r="L39" s="208" t="s">
        <v>831</v>
      </c>
      <c r="M39" s="167" t="s">
        <v>795</v>
      </c>
      <c r="N39" s="137">
        <v>10</v>
      </c>
      <c r="O39" s="137">
        <v>10</v>
      </c>
      <c r="P39" s="137">
        <v>-1</v>
      </c>
      <c r="Q39" s="162">
        <v>25</v>
      </c>
    </row>
    <row r="40" spans="1:17" x14ac:dyDescent="0.25">
      <c r="A40" s="192" t="s">
        <v>743</v>
      </c>
      <c r="B40" s="193" t="s">
        <v>830</v>
      </c>
      <c r="C40" s="193">
        <v>1</v>
      </c>
      <c r="D40" s="193">
        <f>IF(B40="Melee",C40+CharacterSheet!$E$7+CharacterSheet!$M$15,IF(B40="brawl",C40+CharacterSheet!$E$7+CharacterSheet!$E$16,IF(B40="Marks",C40+CharacterSheet!$E$7+CharacterSheet!$M$13,IF(B40="Thrown",C40+CharacterSheet!$E$7+CharacterSheet!$M$21,"Error"))))</f>
        <v>2</v>
      </c>
      <c r="E40" s="193">
        <v>2</v>
      </c>
      <c r="F40" s="193">
        <f>IF(B40="marks",E40+CharacterSheet!$M$13,IF(B40="thrown",E40+CharacterSheet!$M$21,IF(B40="brawl",E40+CharacterSheet!$E$6+CharacterSheet!$E$16,IF(B40="melee",E40+CharacterSheet!$M$15+CharacterSheet!$E$6,"Error"))))</f>
        <v>2</v>
      </c>
      <c r="G40" s="193" t="s">
        <v>117</v>
      </c>
      <c r="H40" s="193" t="s">
        <v>831</v>
      </c>
      <c r="I40" s="193" t="str">
        <f>IF(H40="--","--",IF(B40="brawl",(H40+CharacterSheet!$E$16+CharacterSheet!$E$7)/2+CharacterSheet!$G$7,IF(B40="melee",(H40+CharacterSheet!$E$7+CharacterSheet!$M$15)/2+CharacterSheet!$G$7,"--")))</f>
        <v>--</v>
      </c>
      <c r="J40" s="193">
        <v>5</v>
      </c>
      <c r="K40" s="193">
        <v>30</v>
      </c>
      <c r="L40" s="208"/>
      <c r="M40" s="167" t="s">
        <v>769</v>
      </c>
      <c r="N40" s="137">
        <v>4</v>
      </c>
      <c r="O40" s="137">
        <v>1</v>
      </c>
      <c r="P40" s="137">
        <v>2</v>
      </c>
      <c r="Q40" s="162">
        <v>10</v>
      </c>
    </row>
    <row r="41" spans="1:17" x14ac:dyDescent="0.25">
      <c r="A41" s="192" t="s">
        <v>854</v>
      </c>
      <c r="B41" s="193" t="s">
        <v>48</v>
      </c>
      <c r="C41" s="193">
        <v>2</v>
      </c>
      <c r="D41" s="193">
        <f>IF(B41="Melee",C41+CharacterSheet!$E$7+CharacterSheet!$M$15,IF(B41="brawl",C41+CharacterSheet!$E$7+CharacterSheet!$E$16,IF(B41="Marks",C41+CharacterSheet!$E$7+CharacterSheet!$M$13,IF(B41="Thrown",C41+CharacterSheet!$E$7+CharacterSheet!$M$21,"Error"))))</f>
        <v>3</v>
      </c>
      <c r="E41" s="193">
        <v>3</v>
      </c>
      <c r="F41" s="193">
        <f>IF(B41="marks",E41+CharacterSheet!$M$13,IF(B41="thrown",E41+CharacterSheet!$M$21,IF(B41="brawl",E41+CharacterSheet!$E$6+CharacterSheet!$E$16,IF(B41="melee",E41+CharacterSheet!$M$15+CharacterSheet!$E$6,"Error"))))</f>
        <v>4</v>
      </c>
      <c r="G41" s="193" t="s">
        <v>117</v>
      </c>
      <c r="H41" s="193">
        <v>0</v>
      </c>
      <c r="I41" s="193">
        <f>IF(H41="--","--",IF(B41="brawl",(H41+CharacterSheet!$E$16+CharacterSheet!$E$7)/2+CharacterSheet!$G$7,IF(B41="melee",(H41+CharacterSheet!$E$7+CharacterSheet!$M$15)/2+CharacterSheet!$G$7,"--")))</f>
        <v>0.5</v>
      </c>
      <c r="J41" s="193">
        <v>4</v>
      </c>
      <c r="K41" s="193" t="s">
        <v>831</v>
      </c>
      <c r="L41" s="208" t="s">
        <v>831</v>
      </c>
      <c r="M41" s="167" t="s">
        <v>827</v>
      </c>
      <c r="N41" s="137">
        <v>8</v>
      </c>
      <c r="O41" s="137">
        <v>4</v>
      </c>
      <c r="P41" s="137">
        <v>3</v>
      </c>
      <c r="Q41" s="162">
        <v>20</v>
      </c>
    </row>
    <row r="42" spans="1:17" x14ac:dyDescent="0.25">
      <c r="A42" s="192" t="s">
        <v>853</v>
      </c>
      <c r="B42" s="193" t="s">
        <v>54</v>
      </c>
      <c r="C42" s="193">
        <v>2</v>
      </c>
      <c r="D42" s="193">
        <f>IF(B42="Melee",C42+CharacterSheet!$E$7+CharacterSheet!$M$15,IF(B42="brawl",C42+CharacterSheet!$E$7+CharacterSheet!$E$16,IF(B42="Marks",C42+CharacterSheet!$E$7+CharacterSheet!$M$13,IF(B42="Thrown",C42+CharacterSheet!$E$7+CharacterSheet!$M$21,"Error"))))</f>
        <v>3</v>
      </c>
      <c r="E42" s="193">
        <v>3</v>
      </c>
      <c r="F42" s="193">
        <f>IF(B42="marks",E42+CharacterSheet!$M$13,IF(B42="thrown",E42+CharacterSheet!$M$21,IF(B42="brawl",E42+CharacterSheet!$E$6+CharacterSheet!$E$16,IF(B42="melee",E42+CharacterSheet!$M$15+CharacterSheet!$E$6,"Error"))))</f>
        <v>3</v>
      </c>
      <c r="G42" s="193" t="s">
        <v>117</v>
      </c>
      <c r="H42" s="29" t="s">
        <v>831</v>
      </c>
      <c r="I42" s="193" t="str">
        <f>IF(H42="--","--",IF(B42="brawl",(H42+CharacterSheet!$E$16+CharacterSheet!$E$7)/2+CharacterSheet!$G$7,IF(B42="melee",(H42+CharacterSheet!$E$7+CharacterSheet!$M$15)/2+CharacterSheet!$G$7,"--")))</f>
        <v>--</v>
      </c>
      <c r="J42" s="193">
        <v>4</v>
      </c>
      <c r="K42" s="193">
        <f>IF(CharacterSheet!$R$33="Yes",10*LOOKUP(CharacterSheet!$F$6,Reference!$H$2:$H$12,Reference!$J$2:$J$12)*2,10*LOOKUP(CharacterSheet!$F$6,Reference!$H$2:$H$12,Reference!$J$2:$J$12))</f>
        <v>10</v>
      </c>
      <c r="L42" s="208" t="s">
        <v>831</v>
      </c>
      <c r="M42" s="167" t="s">
        <v>770</v>
      </c>
      <c r="N42" s="137">
        <v>6</v>
      </c>
      <c r="O42" s="137">
        <v>3</v>
      </c>
      <c r="P42" s="137">
        <v>0</v>
      </c>
      <c r="Q42" s="162">
        <v>20</v>
      </c>
    </row>
    <row r="43" spans="1:17" x14ac:dyDescent="0.25">
      <c r="A43" s="192" t="s">
        <v>718</v>
      </c>
      <c r="B43" s="193" t="s">
        <v>48</v>
      </c>
      <c r="C43" s="193">
        <v>1</v>
      </c>
      <c r="D43" s="193">
        <f>IF(B43="Melee",C43+CharacterSheet!$E$7+CharacterSheet!$M$15,IF(B43="brawl",C43+CharacterSheet!$E$7+CharacterSheet!$E$16,IF(B43="Marks",C43+CharacterSheet!$E$7+CharacterSheet!$M$13,IF(B43="Thrown",C43+CharacterSheet!$E$7+CharacterSheet!$M$21,"Error"))))</f>
        <v>2</v>
      </c>
      <c r="E43" s="193">
        <v>3</v>
      </c>
      <c r="F43" s="193">
        <f>IF(B43="marks",E43+CharacterSheet!$M$13,IF(B43="thrown",E43+CharacterSheet!$M$21,IF(B43="brawl",E43+CharacterSheet!$E$6+CharacterSheet!$E$16,IF(B43="melee",E43+CharacterSheet!$M$15+CharacterSheet!$E$6,"Error"))))</f>
        <v>4</v>
      </c>
      <c r="G43" s="193" t="s">
        <v>117</v>
      </c>
      <c r="H43" s="193">
        <v>0</v>
      </c>
      <c r="I43" s="193">
        <f>IF(H43="--","--",IF(B43="brawl",(H43+CharacterSheet!$E$16+CharacterSheet!$E$7)/2+CharacterSheet!$G$7,IF(B43="melee",(H43+CharacterSheet!$E$7+CharacterSheet!$M$15)/2+CharacterSheet!$G$7,"--")))</f>
        <v>0.5</v>
      </c>
      <c r="J43" s="193">
        <v>5</v>
      </c>
      <c r="K43" s="193" t="s">
        <v>831</v>
      </c>
      <c r="L43" s="208" t="s">
        <v>831</v>
      </c>
      <c r="M43" s="167" t="s">
        <v>796</v>
      </c>
      <c r="N43" s="137">
        <v>5</v>
      </c>
      <c r="O43" s="137">
        <v>5</v>
      </c>
      <c r="P43" s="137">
        <v>1</v>
      </c>
      <c r="Q43" s="162">
        <v>20</v>
      </c>
    </row>
    <row r="44" spans="1:17" x14ac:dyDescent="0.25">
      <c r="A44" s="192" t="s">
        <v>883</v>
      </c>
      <c r="B44" s="193" t="s">
        <v>830</v>
      </c>
      <c r="C44" s="193">
        <v>0</v>
      </c>
      <c r="D44" s="193">
        <f>IF(B44="Melee",C44+CharacterSheet!$E$7+CharacterSheet!$M$15,IF(B44="brawl",C44+CharacterSheet!$E$7+CharacterSheet!$E$16,IF(B44="Marks",C44+CharacterSheet!$E$7+CharacterSheet!$M$13,IF(B44="Thrown",C44+CharacterSheet!$E$7+CharacterSheet!$M$21,"Error"))))</f>
        <v>1</v>
      </c>
      <c r="E44" s="193">
        <v>3</v>
      </c>
      <c r="F44" s="193">
        <f>IF(B44="marks",E44+CharacterSheet!$M$13,IF(B44="thrown",E44+CharacterSheet!$M$21,IF(B44="brawl",E44+CharacterSheet!$E$6+CharacterSheet!$E$16,IF(B44="melee",E44+CharacterSheet!$M$15+CharacterSheet!$E$6,"Error"))))</f>
        <v>3</v>
      </c>
      <c r="G44" s="193" t="s">
        <v>118</v>
      </c>
      <c r="H44" s="193" t="s">
        <v>831</v>
      </c>
      <c r="I44" s="193" t="str">
        <f>IF(H44="--","--",IF(B44="brawl",(H44+CharacterSheet!$E$16+CharacterSheet!$E$7)/2+CharacterSheet!$G$7,IF(B44="melee",(H44+CharacterSheet!$E$7+CharacterSheet!$M$15)/2+CharacterSheet!$G$7,"--")))</f>
        <v>--</v>
      </c>
      <c r="J44" s="193">
        <v>6</v>
      </c>
      <c r="K44" s="193">
        <v>400</v>
      </c>
      <c r="L44" s="208" t="s">
        <v>831</v>
      </c>
      <c r="M44" s="167" t="s">
        <v>772</v>
      </c>
      <c r="N44" s="137">
        <v>8</v>
      </c>
      <c r="O44" s="137">
        <v>2</v>
      </c>
      <c r="P44" s="137">
        <v>2</v>
      </c>
      <c r="Q44" s="162">
        <v>20</v>
      </c>
    </row>
    <row r="45" spans="1:17" x14ac:dyDescent="0.25">
      <c r="A45" s="192" t="s">
        <v>882</v>
      </c>
      <c r="B45" s="193" t="s">
        <v>48</v>
      </c>
      <c r="C45" s="193">
        <v>3</v>
      </c>
      <c r="D45" s="193">
        <f>IF(B45="Melee",C45+CharacterSheet!$E$7+CharacterSheet!$M$15,IF(B45="brawl",C45+CharacterSheet!$E$7+CharacterSheet!$E$16,IF(B45="Marks",C45+CharacterSheet!$E$7+CharacterSheet!$M$13,IF(B45="Thrown",C45+CharacterSheet!$E$7+CharacterSheet!$M$21,"Error"))))</f>
        <v>4</v>
      </c>
      <c r="E45" s="193">
        <v>5</v>
      </c>
      <c r="F45" s="193">
        <f>IF(B45="marks",E45+CharacterSheet!$M$13,IF(B45="thrown",E45+CharacterSheet!$M$21,IF(B45="brawl",E45+CharacterSheet!$E$6+CharacterSheet!$E$16,IF(B45="melee",E45+CharacterSheet!$M$15+CharacterSheet!$E$6,"Error"))))</f>
        <v>6</v>
      </c>
      <c r="G45" s="193" t="s">
        <v>117</v>
      </c>
      <c r="H45" s="193">
        <v>6</v>
      </c>
      <c r="I45" s="193">
        <f>IF(H45="--","--",IF(B45="brawl",(H45+CharacterSheet!$E$16+CharacterSheet!$E$7)/2+CharacterSheet!$G$7,IF(B45="melee",(H45+CharacterSheet!$E$7+CharacterSheet!$M$15)/2+CharacterSheet!$G$7,"--")))</f>
        <v>3.5</v>
      </c>
      <c r="J45" s="193">
        <v>4</v>
      </c>
      <c r="K45" s="193" t="s">
        <v>831</v>
      </c>
      <c r="L45" s="208" t="s">
        <v>831</v>
      </c>
      <c r="M45" s="167" t="s">
        <v>797</v>
      </c>
      <c r="N45" s="137">
        <v>5</v>
      </c>
      <c r="O45" s="137">
        <v>2</v>
      </c>
      <c r="P45" s="137">
        <v>1</v>
      </c>
      <c r="Q45" s="162">
        <v>15</v>
      </c>
    </row>
    <row r="46" spans="1:17" x14ac:dyDescent="0.25">
      <c r="A46" s="192" t="s">
        <v>869</v>
      </c>
      <c r="B46" s="193" t="s">
        <v>48</v>
      </c>
      <c r="C46" s="193">
        <v>3</v>
      </c>
      <c r="D46" s="193">
        <f>IF(B46="Melee",C46+CharacterSheet!$E$7+CharacterSheet!$M$15,IF(B46="brawl",C46+CharacterSheet!$E$7+CharacterSheet!$E$16,IF(B46="Marks",C46+CharacterSheet!$E$7+CharacterSheet!$M$13,IF(B46="Thrown",C46+CharacterSheet!$E$7+CharacterSheet!$M$21,"Error"))))</f>
        <v>4</v>
      </c>
      <c r="E46" s="193">
        <v>4</v>
      </c>
      <c r="F46" s="193">
        <f>IF(B46="marks",E46+CharacterSheet!$M$13,IF(B46="thrown",E46+CharacterSheet!$M$21,IF(B46="brawl",E46+CharacterSheet!$E$6+CharacterSheet!$E$16,IF(B46="melee",E46+CharacterSheet!$M$15+CharacterSheet!$E$6,"Error"))))</f>
        <v>5</v>
      </c>
      <c r="G46" s="193" t="s">
        <v>117</v>
      </c>
      <c r="H46" s="193">
        <v>3</v>
      </c>
      <c r="I46" s="193">
        <f>IF(H46="--","--",IF(B46="brawl",(H46+CharacterSheet!$E$16+CharacterSheet!$E$7)/2+CharacterSheet!$G$7,IF(B46="melee",(H46+CharacterSheet!$E$7+CharacterSheet!$M$15)/2+CharacterSheet!$G$7,"--")))</f>
        <v>2</v>
      </c>
      <c r="J46" s="193">
        <v>3</v>
      </c>
      <c r="K46" s="193" t="s">
        <v>831</v>
      </c>
      <c r="L46" s="208" t="s">
        <v>831</v>
      </c>
      <c r="M46" s="167" t="s">
        <v>773</v>
      </c>
      <c r="N46" s="137">
        <v>1</v>
      </c>
      <c r="O46" s="137">
        <v>0</v>
      </c>
      <c r="P46" s="137">
        <v>0</v>
      </c>
      <c r="Q46" s="162">
        <v>4</v>
      </c>
    </row>
    <row r="47" spans="1:17" x14ac:dyDescent="0.25">
      <c r="A47" s="192" t="s">
        <v>889</v>
      </c>
      <c r="B47" s="193" t="s">
        <v>830</v>
      </c>
      <c r="C47" s="193">
        <v>2</v>
      </c>
      <c r="D47" s="193">
        <f>IF(B47="Melee",C47+CharacterSheet!$E$7+CharacterSheet!$M$15,IF(B47="brawl",C47+CharacterSheet!$E$7+CharacterSheet!$E$16,IF(B47="Marks",C47+CharacterSheet!$E$7+CharacterSheet!$M$13,IF(B47="Thrown",C47+CharacterSheet!$E$7+CharacterSheet!$M$21,"Error"))))</f>
        <v>3</v>
      </c>
      <c r="E47" s="193">
        <v>5</v>
      </c>
      <c r="F47" s="193">
        <f>IF(B47="marks",E47+CharacterSheet!$M$13,IF(B47="thrown",E47+CharacterSheet!$M$21,IF(B47="brawl",E47+CharacterSheet!$E$6+CharacterSheet!$E$16,IF(B47="melee",E47+CharacterSheet!$M$15+CharacterSheet!$E$6,"Error"))))</f>
        <v>5</v>
      </c>
      <c r="G47" s="193" t="s">
        <v>117</v>
      </c>
      <c r="H47" s="193" t="s">
        <v>831</v>
      </c>
      <c r="I47" s="193" t="str">
        <f>IF(H47="--","--",IF(B47="brawl",(H47+CharacterSheet!$E$16+CharacterSheet!$E$7)/2+CharacterSheet!$G$7,IF(B47="melee",(H47+CharacterSheet!$E$7+CharacterSheet!$M$15)/2+CharacterSheet!$G$7,"--")))</f>
        <v>--</v>
      </c>
      <c r="J47" s="193">
        <v>5</v>
      </c>
      <c r="K47" s="29">
        <v>400</v>
      </c>
      <c r="L47" s="208" t="s">
        <v>831</v>
      </c>
      <c r="M47" s="167" t="s">
        <v>798</v>
      </c>
      <c r="N47" s="137">
        <v>1</v>
      </c>
      <c r="O47" s="137">
        <v>1</v>
      </c>
      <c r="P47" s="137">
        <v>2</v>
      </c>
      <c r="Q47" s="162">
        <v>4</v>
      </c>
    </row>
    <row r="48" spans="1:17" x14ac:dyDescent="0.25">
      <c r="A48" s="192" t="s">
        <v>778</v>
      </c>
      <c r="B48" s="193" t="s">
        <v>48</v>
      </c>
      <c r="C48" s="193">
        <v>1</v>
      </c>
      <c r="D48" s="193">
        <f>IF(B48="Melee",C48+CharacterSheet!$E$7+CharacterSheet!$M$15,IF(B48="brawl",C48+CharacterSheet!$E$7+CharacterSheet!$E$16,IF(B48="Marks",C48+CharacterSheet!$E$7+CharacterSheet!$M$13,IF(B48="Thrown",C48+CharacterSheet!$E$7+CharacterSheet!$M$21,"Error"))))</f>
        <v>2</v>
      </c>
      <c r="E48" s="193">
        <v>4</v>
      </c>
      <c r="F48" s="193">
        <f>IF(B48="marks",E48+CharacterSheet!$M$13,IF(B48="thrown",E48+CharacterSheet!$M$21,IF(B48="brawl",E48+CharacterSheet!$E$6+CharacterSheet!$E$16,IF(B48="melee",E48+CharacterSheet!$M$15+CharacterSheet!$E$6,"Error"))))</f>
        <v>5</v>
      </c>
      <c r="G48" s="193" t="s">
        <v>117</v>
      </c>
      <c r="H48" s="193">
        <v>-1</v>
      </c>
      <c r="I48" s="193">
        <f>IF(H48="--","--",IF(B48="brawl",(H48+CharacterSheet!$E$16+CharacterSheet!$E$7)/2+CharacterSheet!$G$7,IF(B48="melee",(H48+CharacterSheet!$E$7+CharacterSheet!$M$15)/2+CharacterSheet!$G$7,"--")))</f>
        <v>0</v>
      </c>
      <c r="J48" s="193">
        <v>4</v>
      </c>
      <c r="K48" s="193" t="s">
        <v>831</v>
      </c>
      <c r="L48" s="208" t="s">
        <v>831</v>
      </c>
      <c r="M48" s="167" t="s">
        <v>774</v>
      </c>
      <c r="N48" s="137">
        <v>10</v>
      </c>
      <c r="O48" s="137">
        <v>6</v>
      </c>
      <c r="P48" s="137">
        <v>-2</v>
      </c>
      <c r="Q48" s="162">
        <v>40</v>
      </c>
    </row>
    <row r="49" spans="1:17" x14ac:dyDescent="0.25">
      <c r="A49" s="192" t="s">
        <v>881</v>
      </c>
      <c r="B49" s="193" t="s">
        <v>48</v>
      </c>
      <c r="C49" s="193">
        <v>2</v>
      </c>
      <c r="D49" s="193">
        <f>IF(B49="Melee",C49+CharacterSheet!$E$7+CharacterSheet!$M$15,IF(B49="brawl",C49+CharacterSheet!$E$7+CharacterSheet!$E$16,IF(B49="Marks",C49+CharacterSheet!$E$7+CharacterSheet!$M$13,IF(B49="Thrown",C49+CharacterSheet!$E$7+CharacterSheet!$M$21,"Error"))))</f>
        <v>3</v>
      </c>
      <c r="E49" s="193">
        <v>2</v>
      </c>
      <c r="F49" s="193">
        <f>IF(B49="marks",E49+CharacterSheet!$M$13,IF(B49="thrown",E49+CharacterSheet!$M$21,IF(B49="brawl",E49+CharacterSheet!$E$6+CharacterSheet!$E$16,IF(B49="melee",E49+CharacterSheet!$M$15+CharacterSheet!$E$6,"Error"))))</f>
        <v>3</v>
      </c>
      <c r="G49" s="193" t="s">
        <v>117</v>
      </c>
      <c r="H49" s="193">
        <v>1</v>
      </c>
      <c r="I49" s="193">
        <f>IF(H49="--","--",IF(B49="brawl",(H49+CharacterSheet!$E$16+CharacterSheet!$E$7)/2+CharacterSheet!$G$7,IF(B49="melee",(H49+CharacterSheet!$E$7+CharacterSheet!$M$15)/2+CharacterSheet!$G$7,"--")))</f>
        <v>1</v>
      </c>
      <c r="J49" s="193">
        <v>4</v>
      </c>
      <c r="K49" s="193" t="s">
        <v>831</v>
      </c>
      <c r="L49" s="208" t="s">
        <v>831</v>
      </c>
      <c r="M49" s="167" t="s">
        <v>799</v>
      </c>
      <c r="N49" s="137">
        <v>5</v>
      </c>
      <c r="O49" s="137">
        <v>4</v>
      </c>
      <c r="P49" s="137">
        <v>-1</v>
      </c>
      <c r="Q49" s="162">
        <v>20</v>
      </c>
    </row>
    <row r="50" spans="1:17" x14ac:dyDescent="0.25">
      <c r="A50" s="192" t="s">
        <v>879</v>
      </c>
      <c r="B50" s="193" t="s">
        <v>48</v>
      </c>
      <c r="C50" s="193">
        <v>3</v>
      </c>
      <c r="D50" s="193">
        <f>IF(B50="Melee",C50+CharacterSheet!$E$7+CharacterSheet!$M$15,IF(B50="brawl",C50+CharacterSheet!$E$7+CharacterSheet!$E$16,IF(B50="Marks",C50+CharacterSheet!$E$7+CharacterSheet!$M$13,IF(B50="Thrown",C50+CharacterSheet!$E$7+CharacterSheet!$M$21,"Error"))))</f>
        <v>4</v>
      </c>
      <c r="E50" s="193">
        <v>4</v>
      </c>
      <c r="F50" s="193">
        <f>IF(B50="marks",E50+CharacterSheet!$M$13,IF(B50="thrown",E50+CharacterSheet!$M$21,IF(B50="brawl",E50+CharacterSheet!$E$6+CharacterSheet!$E$16,IF(B50="melee",E50+CharacterSheet!$M$15+CharacterSheet!$E$6,"Error"))))</f>
        <v>5</v>
      </c>
      <c r="G50" s="193" t="s">
        <v>117</v>
      </c>
      <c r="H50" s="193">
        <v>1</v>
      </c>
      <c r="I50" s="193">
        <f>IF(H50="--","--",IF(B50="brawl",(H50+CharacterSheet!$E$16+CharacterSheet!$E$7)/2+CharacterSheet!$G$7,IF(B50="melee",(H50+CharacterSheet!$E$7+CharacterSheet!$M$15)/2+CharacterSheet!$G$7,"--")))</f>
        <v>1</v>
      </c>
      <c r="J50" s="193">
        <v>3</v>
      </c>
      <c r="K50" s="193" t="s">
        <v>831</v>
      </c>
      <c r="L50" s="208" t="s">
        <v>831</v>
      </c>
      <c r="M50" s="167" t="s">
        <v>800</v>
      </c>
      <c r="N50" s="137">
        <v>6</v>
      </c>
      <c r="O50" s="137">
        <v>2</v>
      </c>
      <c r="P50" s="137">
        <v>1</v>
      </c>
      <c r="Q50" s="162">
        <v>15</v>
      </c>
    </row>
    <row r="51" spans="1:17" x14ac:dyDescent="0.25">
      <c r="A51" s="192" t="s">
        <v>719</v>
      </c>
      <c r="B51" s="193" t="s">
        <v>48</v>
      </c>
      <c r="C51" s="193">
        <v>0</v>
      </c>
      <c r="D51" s="193">
        <f>IF(B51="Melee",C51+CharacterSheet!$E$7+CharacterSheet!$M$15,IF(B51="brawl",C51+CharacterSheet!$E$7+CharacterSheet!$E$16,IF(B51="Marks",C51+CharacterSheet!$E$7+CharacterSheet!$M$13,IF(B51="Thrown",C51+CharacterSheet!$E$7+CharacterSheet!$M$21,"Error"))))</f>
        <v>1</v>
      </c>
      <c r="E51" s="193">
        <v>2</v>
      </c>
      <c r="F51" s="193">
        <f>IF(B51="marks",E51+CharacterSheet!$M$13,IF(B51="thrown",E51+CharacterSheet!$M$21,IF(B51="brawl",E51+CharacterSheet!$E$6+CharacterSheet!$E$16,IF(B51="melee",E51+CharacterSheet!$M$15+CharacterSheet!$E$6,"Error"))))</f>
        <v>3</v>
      </c>
      <c r="G51" s="193" t="s">
        <v>117</v>
      </c>
      <c r="H51" s="193">
        <v>1</v>
      </c>
      <c r="I51" s="193">
        <f>IF(H51="--","--",IF(B51="brawl",(H51+CharacterSheet!$E$16+CharacterSheet!$E$7)/2+CharacterSheet!$G$7,IF(B51="melee",(H51+CharacterSheet!$E$7+CharacterSheet!$M$15)/2+CharacterSheet!$G$7,"--")))</f>
        <v>1</v>
      </c>
      <c r="J51" s="193">
        <v>4</v>
      </c>
      <c r="K51" s="193" t="s">
        <v>831</v>
      </c>
      <c r="L51" s="208" t="s">
        <v>831</v>
      </c>
      <c r="M51" s="167" t="s">
        <v>828</v>
      </c>
      <c r="N51" s="137">
        <v>12</v>
      </c>
      <c r="O51" s="137">
        <v>10</v>
      </c>
      <c r="P51" s="137">
        <v>-4</v>
      </c>
      <c r="Q51" s="162">
        <v>30</v>
      </c>
    </row>
    <row r="52" spans="1:17" x14ac:dyDescent="0.25">
      <c r="A52" s="192" t="s">
        <v>720</v>
      </c>
      <c r="B52" s="193" t="s">
        <v>48</v>
      </c>
      <c r="C52" s="193">
        <v>1</v>
      </c>
      <c r="D52" s="193">
        <f>IF(B52="Melee",C52+CharacterSheet!$E$7+CharacterSheet!$M$15,IF(B52="brawl",C52+CharacterSheet!$E$7+CharacterSheet!$E$16,IF(B52="Marks",C52+CharacterSheet!$E$7+CharacterSheet!$M$13,IF(B52="Thrown",C52+CharacterSheet!$E$7+CharacterSheet!$M$21,"Error"))))</f>
        <v>2</v>
      </c>
      <c r="E52" s="193">
        <v>5</v>
      </c>
      <c r="F52" s="193">
        <f>IF(B52="marks",E52+CharacterSheet!$M$13,IF(B52="thrown",E52+CharacterSheet!$M$21,IF(B52="brawl",E52+CharacterSheet!$E$6+CharacterSheet!$E$16,IF(B52="melee",E52+CharacterSheet!$M$15+CharacterSheet!$E$6,"Error"))))</f>
        <v>6</v>
      </c>
      <c r="G52" s="193" t="s">
        <v>117</v>
      </c>
      <c r="H52" s="193">
        <v>1</v>
      </c>
      <c r="I52" s="193">
        <f>IF(H52="--","--",IF(B52="brawl",(H52+CharacterSheet!$E$16+CharacterSheet!$E$7)/2+CharacterSheet!$G$7,IF(B52="melee",(H52+CharacterSheet!$E$7+CharacterSheet!$M$15)/2+CharacterSheet!$G$7,"--")))</f>
        <v>1</v>
      </c>
      <c r="J52" s="193">
        <v>5</v>
      </c>
      <c r="K52" s="193" t="s">
        <v>831</v>
      </c>
      <c r="L52" s="208" t="s">
        <v>831</v>
      </c>
      <c r="M52" s="167" t="s">
        <v>829</v>
      </c>
      <c r="N52" s="137">
        <v>10</v>
      </c>
      <c r="O52" s="137">
        <v>1000</v>
      </c>
      <c r="P52" s="137">
        <v>-6</v>
      </c>
      <c r="Q52" s="162">
        <v>500</v>
      </c>
    </row>
    <row r="53" spans="1:17" ht="15.75" thickBot="1" x14ac:dyDescent="0.3">
      <c r="A53" s="192" t="s">
        <v>721</v>
      </c>
      <c r="B53" s="193" t="s">
        <v>48</v>
      </c>
      <c r="C53" s="193">
        <v>0</v>
      </c>
      <c r="D53" s="193">
        <f>IF(B53="Melee",C53+CharacterSheet!$E$7+CharacterSheet!$M$15,IF(B53="brawl",C53+CharacterSheet!$E$7+CharacterSheet!$E$16,IF(B53="Marks",C53+CharacterSheet!$E$7+CharacterSheet!$M$13,IF(B53="Thrown",C53+CharacterSheet!$E$7+CharacterSheet!$M$21,"Error"))))</f>
        <v>1</v>
      </c>
      <c r="E53" s="193">
        <v>4</v>
      </c>
      <c r="F53" s="193">
        <f>IF(B53="marks",E53+CharacterSheet!$M$13,IF(B53="thrown",E53+CharacterSheet!$M$21,IF(B53="brawl",E53+CharacterSheet!$E$6+CharacterSheet!$E$16,IF(B53="melee",E53+CharacterSheet!$M$15+CharacterSheet!$E$6,"Error"))))</f>
        <v>5</v>
      </c>
      <c r="G53" s="193" t="s">
        <v>117</v>
      </c>
      <c r="H53" s="193">
        <v>2</v>
      </c>
      <c r="I53" s="193">
        <f>IF(H53="--","--",IF(B53="brawl",(H53+CharacterSheet!$E$16+CharacterSheet!$E$7)/2+CharacterSheet!$G$7,IF(B53="melee",(H53+CharacterSheet!$E$7+CharacterSheet!$M$15)/2+CharacterSheet!$G$7,"--")))</f>
        <v>1.5</v>
      </c>
      <c r="J53" s="193">
        <v>5</v>
      </c>
      <c r="K53" s="193" t="s">
        <v>831</v>
      </c>
      <c r="L53" s="208" t="s">
        <v>831</v>
      </c>
      <c r="M53" s="173" t="s">
        <v>771</v>
      </c>
      <c r="N53" s="141">
        <v>6</v>
      </c>
      <c r="O53" s="141">
        <v>3</v>
      </c>
      <c r="P53" s="141">
        <v>0</v>
      </c>
      <c r="Q53" s="155">
        <v>20</v>
      </c>
    </row>
    <row r="54" spans="1:17" x14ac:dyDescent="0.25">
      <c r="A54" s="192" t="s">
        <v>851</v>
      </c>
      <c r="B54" s="193" t="s">
        <v>48</v>
      </c>
      <c r="C54" s="193">
        <v>5</v>
      </c>
      <c r="D54" s="193">
        <f>IF(B54="Melee",C54+CharacterSheet!$E$7+CharacterSheet!$M$15,IF(B54="brawl",C54+CharacterSheet!$E$7+CharacterSheet!$E$16,IF(B54="Marks",C54+CharacterSheet!$E$7+CharacterSheet!$M$13,IF(B54="Thrown",C54+CharacterSheet!$E$7+CharacterSheet!$M$21,"Error"))))</f>
        <v>6</v>
      </c>
      <c r="E54" s="193">
        <v>9</v>
      </c>
      <c r="F54" s="193">
        <f>IF(B54="marks",E54+CharacterSheet!$M$13,IF(B54="thrown",E54+CharacterSheet!$M$21,IF(B54="brawl",E54+CharacterSheet!$E$6+CharacterSheet!$E$16,IF(B54="melee",E54+CharacterSheet!$M$15+CharacterSheet!$E$6,"Error"))))</f>
        <v>10</v>
      </c>
      <c r="G54" s="193" t="s">
        <v>117</v>
      </c>
      <c r="H54" s="193">
        <v>5</v>
      </c>
      <c r="I54" s="193">
        <f>IF(H54="--","--",IF(B54="brawl",(H54+CharacterSheet!$E$16+CharacterSheet!$E$7)/2+CharacterSheet!$G$7,IF(B54="melee",(H54+CharacterSheet!$E$7+CharacterSheet!$M$15)/2+CharacterSheet!$G$7,"--")))</f>
        <v>3</v>
      </c>
      <c r="J54" s="193">
        <v>5</v>
      </c>
      <c r="K54" s="193" t="s">
        <v>831</v>
      </c>
      <c r="L54" s="208" t="s">
        <v>831</v>
      </c>
    </row>
    <row r="55" spans="1:17" x14ac:dyDescent="0.25">
      <c r="A55" s="192" t="s">
        <v>722</v>
      </c>
      <c r="B55" s="193" t="s">
        <v>48</v>
      </c>
      <c r="C55" s="193">
        <v>-1</v>
      </c>
      <c r="D55" s="193">
        <f>IF(B55="Melee",C55+CharacterSheet!$E$7+CharacterSheet!$M$15,IF(B55="brawl",C55+CharacterSheet!$E$7+CharacterSheet!$E$16,IF(B55="Marks",C55+CharacterSheet!$E$7+CharacterSheet!$M$13,IF(B55="Thrown",C55+CharacterSheet!$E$7+CharacterSheet!$M$21,"Error"))))</f>
        <v>0</v>
      </c>
      <c r="E55" s="193">
        <v>5</v>
      </c>
      <c r="F55" s="193">
        <f>IF(B55="marks",E55+CharacterSheet!$M$13,IF(B55="thrown",E55+CharacterSheet!$M$21,IF(B55="brawl",E55+CharacterSheet!$E$6+CharacterSheet!$E$16,IF(B55="melee",E55+CharacterSheet!$M$15+CharacterSheet!$E$6,"Error"))))</f>
        <v>6</v>
      </c>
      <c r="G55" s="193" t="s">
        <v>117</v>
      </c>
      <c r="H55" s="193">
        <v>-2</v>
      </c>
      <c r="I55" s="193">
        <f>IF(H55="--","--",IF(B55="brawl",(H55+CharacterSheet!$E$16+CharacterSheet!$E$7)/2+CharacterSheet!$G$7,IF(B55="melee",(H55+CharacterSheet!$E$7+CharacterSheet!$M$15)/2+CharacterSheet!$G$7,"--")))</f>
        <v>-0.5</v>
      </c>
      <c r="J55" s="193">
        <v>6</v>
      </c>
      <c r="K55" s="193" t="s">
        <v>831</v>
      </c>
      <c r="L55" s="208" t="s">
        <v>831</v>
      </c>
    </row>
    <row r="56" spans="1:17" x14ac:dyDescent="0.25">
      <c r="A56" s="192" t="s">
        <v>723</v>
      </c>
      <c r="B56" s="193" t="s">
        <v>48</v>
      </c>
      <c r="C56" s="193">
        <v>1</v>
      </c>
      <c r="D56" s="193">
        <f>IF(B56="Melee",C56+CharacterSheet!$E$7+CharacterSheet!$M$15,IF(B56="brawl",C56+CharacterSheet!$E$7+CharacterSheet!$E$16,IF(B56="Marks",C56+CharacterSheet!$E$7+CharacterSheet!$M$13,IF(B56="Thrown",C56+CharacterSheet!$E$7+CharacterSheet!$M$21,"Error"))))</f>
        <v>2</v>
      </c>
      <c r="E56" s="193">
        <v>8</v>
      </c>
      <c r="F56" s="193">
        <f>IF(B56="marks",E56+CharacterSheet!$M$13,IF(B56="thrown",E56+CharacterSheet!$M$21,IF(B56="brawl",E56+CharacterSheet!$E$6+CharacterSheet!$E$16,IF(B56="melee",E56+CharacterSheet!$M$15+CharacterSheet!$E$6,"Error"))))</f>
        <v>9</v>
      </c>
      <c r="G56" s="193" t="s">
        <v>117</v>
      </c>
      <c r="H56" s="193">
        <v>0</v>
      </c>
      <c r="I56" s="193">
        <f>IF(H56="--","--",IF(B56="brawl",(H56+CharacterSheet!$E$16+CharacterSheet!$E$7)/2+CharacterSheet!$G$7,IF(B56="melee",(H56+CharacterSheet!$E$7+CharacterSheet!$M$15)/2+CharacterSheet!$G$7,"--")))</f>
        <v>0.5</v>
      </c>
      <c r="J56" s="193">
        <v>6</v>
      </c>
      <c r="K56" s="193" t="s">
        <v>831</v>
      </c>
      <c r="L56" s="208" t="s">
        <v>831</v>
      </c>
    </row>
    <row r="57" spans="1:17" x14ac:dyDescent="0.25">
      <c r="A57" s="192" t="s">
        <v>803</v>
      </c>
      <c r="B57" s="193" t="s">
        <v>830</v>
      </c>
      <c r="C57" s="193">
        <v>3</v>
      </c>
      <c r="D57" s="193">
        <f>IF(B57="Melee",C57+CharacterSheet!$E$7+CharacterSheet!$M$15,IF(B57="brawl",C57+CharacterSheet!$E$7+CharacterSheet!$E$16,IF(B57="Marks",C57+CharacterSheet!$E$7+CharacterSheet!$M$13,IF(B57="Thrown",C57+CharacterSheet!$E$7+CharacterSheet!$M$21,"Error"))))</f>
        <v>4</v>
      </c>
      <c r="E57" s="193">
        <v>7</v>
      </c>
      <c r="F57" s="193">
        <f>IF(B57="marks",E57+CharacterSheet!$M$13,IF(B57="thrown",E57+CharacterSheet!$M$21,IF(B57="brawl",E57+CharacterSheet!$E$6+CharacterSheet!$E$16,IF(B57="melee",E57+CharacterSheet!$M$15+CharacterSheet!$E$6,"Error"))))</f>
        <v>7</v>
      </c>
      <c r="G57" s="193" t="s">
        <v>117</v>
      </c>
      <c r="H57" s="193" t="s">
        <v>831</v>
      </c>
      <c r="I57" s="193" t="str">
        <f>IF(H57="--","--",IF(B57="brawl",(H57+CharacterSheet!$E$16+CharacterSheet!$E$7)/2+CharacterSheet!$G$7,IF(B57="melee",(H57+CharacterSheet!$E$7+CharacterSheet!$M$15)/2+CharacterSheet!$G$7,"--")))</f>
        <v>--</v>
      </c>
      <c r="J57" s="193">
        <v>6</v>
      </c>
      <c r="K57" s="193">
        <v>200</v>
      </c>
      <c r="L57" s="208">
        <v>10</v>
      </c>
    </row>
    <row r="58" spans="1:17" x14ac:dyDescent="0.25">
      <c r="A58" s="192" t="s">
        <v>871</v>
      </c>
      <c r="B58" s="193" t="s">
        <v>48</v>
      </c>
      <c r="C58" s="193">
        <v>3</v>
      </c>
      <c r="D58" s="193">
        <f>IF(B58="Melee",C58+CharacterSheet!$E$7+CharacterSheet!$M$15,IF(B58="brawl",C58+CharacterSheet!$E$7+CharacterSheet!$E$16,IF(B58="Marks",C58+CharacterSheet!$E$7+CharacterSheet!$M$13,IF(B58="Thrown",C58+CharacterSheet!$E$7+CharacterSheet!$M$21,"Error"))))</f>
        <v>4</v>
      </c>
      <c r="E58" s="193">
        <v>4</v>
      </c>
      <c r="F58" s="193">
        <f>IF(B58="marks",E58+CharacterSheet!$M$13,IF(B58="thrown",E58+CharacterSheet!$M$21,IF(B58="brawl",E58+CharacterSheet!$E$6+CharacterSheet!$E$16,IF(B58="melee",E58+CharacterSheet!$M$15+CharacterSheet!$E$6,"Error"))))</f>
        <v>5</v>
      </c>
      <c r="G58" s="193" t="s">
        <v>117</v>
      </c>
      <c r="H58" s="193">
        <v>2</v>
      </c>
      <c r="I58" s="193">
        <f>IF(H58="--","--",IF(B58="brawl",(H58+CharacterSheet!$E$16+CharacterSheet!$E$7)/2+CharacterSheet!$G$7,IF(B58="melee",(H58+CharacterSheet!$E$7+CharacterSheet!$M$15)/2+CharacterSheet!$G$7,"--")))</f>
        <v>1.5</v>
      </c>
      <c r="J58" s="193">
        <v>3</v>
      </c>
      <c r="K58" s="193" t="s">
        <v>831</v>
      </c>
      <c r="L58" s="208" t="s">
        <v>831</v>
      </c>
    </row>
    <row r="59" spans="1:17" x14ac:dyDescent="0.25">
      <c r="A59" s="192" t="s">
        <v>802</v>
      </c>
      <c r="B59" s="193" t="s">
        <v>830</v>
      </c>
      <c r="C59" s="193">
        <v>3</v>
      </c>
      <c r="D59" s="193">
        <f>IF(B59="Melee",C59+CharacterSheet!$E$7+CharacterSheet!$M$15,IF(B59="brawl",C59+CharacterSheet!$E$7+CharacterSheet!$E$16,IF(B59="Marks",C59+CharacterSheet!$E$7+CharacterSheet!$M$13,IF(B59="Thrown",C59+CharacterSheet!$E$7+CharacterSheet!$M$21,"Error"))))</f>
        <v>4</v>
      </c>
      <c r="E59" s="193">
        <v>3</v>
      </c>
      <c r="F59" s="193">
        <f>IF(B59="marks",E59+CharacterSheet!$M$13,IF(B59="thrown",E59+CharacterSheet!$M$21,IF(B59="brawl",E59+CharacterSheet!$E$6+CharacterSheet!$E$16,IF(B59="melee",E59+CharacterSheet!$M$15+CharacterSheet!$E$6,"Error"))))</f>
        <v>3</v>
      </c>
      <c r="G59" s="193" t="s">
        <v>117</v>
      </c>
      <c r="H59" s="193" t="s">
        <v>831</v>
      </c>
      <c r="I59" s="193" t="str">
        <f>IF(H59="--","--",IF(B59="brawl",(H59+CharacterSheet!$E$16+CharacterSheet!$E$7)/2+CharacterSheet!$G$7,IF(B59="melee",(H59+CharacterSheet!$E$7+CharacterSheet!$M$15)/2+CharacterSheet!$G$7,"--")))</f>
        <v>--</v>
      </c>
      <c r="J59" s="193">
        <v>4</v>
      </c>
      <c r="K59" s="193">
        <v>20</v>
      </c>
      <c r="L59" s="208">
        <v>8</v>
      </c>
    </row>
    <row r="60" spans="1:17" x14ac:dyDescent="0.25">
      <c r="A60" s="192" t="s">
        <v>804</v>
      </c>
      <c r="B60" s="193" t="s">
        <v>830</v>
      </c>
      <c r="C60" s="193">
        <v>3</v>
      </c>
      <c r="D60" s="193">
        <f>IF(B60="Melee",C60+CharacterSheet!$E$7+CharacterSheet!$M$15,IF(B60="brawl",C60+CharacterSheet!$E$7+CharacterSheet!$E$16,IF(B60="Marks",C60+CharacterSheet!$E$7+CharacterSheet!$M$13,IF(B60="Thrown",C60+CharacterSheet!$E$7+CharacterSheet!$M$21,"Error"))))</f>
        <v>4</v>
      </c>
      <c r="E60" s="193">
        <v>7</v>
      </c>
      <c r="F60" s="193">
        <f>IF(B60="marks",E60+CharacterSheet!$M$13,IF(B60="thrown",E60+CharacterSheet!$M$21,IF(B60="brawl",E60+CharacterSheet!$E$6+CharacterSheet!$E$16,IF(B60="melee",E60+CharacterSheet!$M$15+CharacterSheet!$E$6,"Error"))))</f>
        <v>7</v>
      </c>
      <c r="G60" s="193" t="s">
        <v>117</v>
      </c>
      <c r="H60" s="193" t="s">
        <v>831</v>
      </c>
      <c r="I60" s="193" t="str">
        <f>IF(H60="--","--",IF(B60="brawl",(H60+CharacterSheet!$E$16+CharacterSheet!$E$7)/2+CharacterSheet!$G$7,IF(B60="melee",(H60+CharacterSheet!$E$7+CharacterSheet!$M$15)/2+CharacterSheet!$G$7,"--")))</f>
        <v>--</v>
      </c>
      <c r="J60" s="193">
        <v>5</v>
      </c>
      <c r="K60" s="193">
        <v>150</v>
      </c>
      <c r="L60" s="208">
        <v>8</v>
      </c>
    </row>
    <row r="61" spans="1:17" x14ac:dyDescent="0.25">
      <c r="A61" s="192" t="s">
        <v>753</v>
      </c>
      <c r="B61" s="193" t="s">
        <v>830</v>
      </c>
      <c r="C61" s="193">
        <v>0</v>
      </c>
      <c r="D61" s="193">
        <f>IF(B61="Melee",C61+CharacterSheet!$E$7+CharacterSheet!$M$15,IF(B61="brawl",C61+CharacterSheet!$E$7+CharacterSheet!$E$16,IF(B61="Marks",C61+CharacterSheet!$E$7+CharacterSheet!$M$13,IF(B61="Thrown",C61+CharacterSheet!$E$7+CharacterSheet!$M$21,"Error"))))</f>
        <v>1</v>
      </c>
      <c r="E61" s="193">
        <v>5</v>
      </c>
      <c r="F61" s="193">
        <f>IF(B61="marks",E61+CharacterSheet!$M$13,IF(B61="thrown",E61+CharacterSheet!$M$21,IF(B61="brawl",E61+CharacterSheet!$E$6+CharacterSheet!$E$16,IF(B61="melee",E61+CharacterSheet!$M$15+CharacterSheet!$E$6,"Error"))))</f>
        <v>5</v>
      </c>
      <c r="G61" s="193" t="s">
        <v>117</v>
      </c>
      <c r="H61" s="193" t="s">
        <v>831</v>
      </c>
      <c r="I61" s="193" t="str">
        <f>IF(H61="--","--",IF(B61="brawl",(H61+CharacterSheet!$E$16+CharacterSheet!$E$7)/2+CharacterSheet!$G$7,IF(B61="melee",(H61+CharacterSheet!$E$7+CharacterSheet!$M$15)/2+CharacterSheet!$G$7,"--")))</f>
        <v>--</v>
      </c>
      <c r="J61" s="193">
        <v>5</v>
      </c>
      <c r="K61" s="193">
        <v>150</v>
      </c>
      <c r="L61" s="208">
        <v>30</v>
      </c>
    </row>
    <row r="62" spans="1:17" x14ac:dyDescent="0.25">
      <c r="A62" s="192" t="s">
        <v>724</v>
      </c>
      <c r="B62" s="193" t="s">
        <v>48</v>
      </c>
      <c r="C62" s="193">
        <v>1</v>
      </c>
      <c r="D62" s="193">
        <f>IF(B62="Melee",C62+CharacterSheet!$E$7+CharacterSheet!$M$15,IF(B62="brawl",C62+CharacterSheet!$E$7+CharacterSheet!$E$16,IF(B62="Marks",C62+CharacterSheet!$E$7+CharacterSheet!$M$13,IF(B62="Thrown",C62+CharacterSheet!$E$7+CharacterSheet!$M$21,"Error"))))</f>
        <v>2</v>
      </c>
      <c r="E62" s="193">
        <v>3</v>
      </c>
      <c r="F62" s="193">
        <f>IF(B62="marks",E62+CharacterSheet!$M$13,IF(B62="thrown",E62+CharacterSheet!$M$21,IF(B62="brawl",E62+CharacterSheet!$E$6+CharacterSheet!$E$16,IF(B62="melee",E62+CharacterSheet!$M$15+CharacterSheet!$E$6,"Error"))))</f>
        <v>4</v>
      </c>
      <c r="G62" s="193" t="s">
        <v>116</v>
      </c>
      <c r="H62" s="193">
        <v>0</v>
      </c>
      <c r="I62" s="193">
        <f>IF(H62="--","--",IF(B62="brawl",(H62+CharacterSheet!$E$16+CharacterSheet!$E$7)/2+CharacterSheet!$G$7,IF(B62="melee",(H62+CharacterSheet!$E$7+CharacterSheet!$M$15)/2+CharacterSheet!$G$7,"--")))</f>
        <v>0.5</v>
      </c>
      <c r="J62" s="193">
        <v>4</v>
      </c>
      <c r="K62" s="193" t="s">
        <v>831</v>
      </c>
      <c r="L62" s="208" t="s">
        <v>831</v>
      </c>
    </row>
    <row r="63" spans="1:17" x14ac:dyDescent="0.25">
      <c r="A63" s="192" t="s">
        <v>725</v>
      </c>
      <c r="B63" s="193" t="s">
        <v>48</v>
      </c>
      <c r="C63" s="193">
        <v>1</v>
      </c>
      <c r="D63" s="193">
        <f>IF(B63="Melee",C63+CharacterSheet!$E$7+CharacterSheet!$M$15,IF(B63="brawl",C63+CharacterSheet!$E$7+CharacterSheet!$E$16,IF(B63="Marks",C63+CharacterSheet!$E$7+CharacterSheet!$M$13,IF(B63="Thrown",C63+CharacterSheet!$E$7+CharacterSheet!$M$21,"Error"))))</f>
        <v>2</v>
      </c>
      <c r="E63" s="193">
        <v>3</v>
      </c>
      <c r="F63" s="193">
        <f>IF(B63="marks",E63+CharacterSheet!$M$13,IF(B63="thrown",E63+CharacterSheet!$M$21,IF(B63="brawl",E63+CharacterSheet!$E$6+CharacterSheet!$E$16,IF(B63="melee",E63+CharacterSheet!$M$15+CharacterSheet!$E$6,"Error"))))</f>
        <v>4</v>
      </c>
      <c r="G63" s="193" t="s">
        <v>117</v>
      </c>
      <c r="H63" s="193">
        <v>-1</v>
      </c>
      <c r="I63" s="193">
        <f>IF(H63="--","--",IF(B63="brawl",(H63+CharacterSheet!$E$16+CharacterSheet!$E$7)/2+CharacterSheet!$G$7,IF(B63="melee",(H63+CharacterSheet!$E$7+CharacterSheet!$M$15)/2+CharacterSheet!$G$7,"--")))</f>
        <v>0</v>
      </c>
      <c r="J63" s="193">
        <v>4</v>
      </c>
      <c r="K63" s="193" t="s">
        <v>831</v>
      </c>
      <c r="L63" s="208" t="s">
        <v>831</v>
      </c>
    </row>
    <row r="64" spans="1:17" x14ac:dyDescent="0.25">
      <c r="A64" s="192" t="s">
        <v>820</v>
      </c>
      <c r="B64" s="193" t="s">
        <v>830</v>
      </c>
      <c r="C64" s="193">
        <v>1</v>
      </c>
      <c r="D64" s="193">
        <f>IF(B64="Melee",C64+CharacterSheet!$E$7+CharacterSheet!$M$15,IF(B64="brawl",C64+CharacterSheet!$E$7+CharacterSheet!$E$16,IF(B64="Marks",C64+CharacterSheet!$E$7+CharacterSheet!$M$13,IF(B64="Thrown",C64+CharacterSheet!$E$7+CharacterSheet!$M$21,"Error"))))</f>
        <v>2</v>
      </c>
      <c r="E64" s="193">
        <v>10</v>
      </c>
      <c r="F64" s="193">
        <f>IF(B64="marks",E64+CharacterSheet!$M$13,IF(B64="thrown",E64+CharacterSheet!$M$21,IF(B64="brawl",E64+CharacterSheet!$E$6+CharacterSheet!$E$16,IF(B64="melee",E64+CharacterSheet!$M$15+CharacterSheet!$E$6,"Error"))))</f>
        <v>10</v>
      </c>
      <c r="G64" s="193" t="s">
        <v>117</v>
      </c>
      <c r="H64" s="193" t="s">
        <v>831</v>
      </c>
      <c r="I64" s="193" t="str">
        <f>IF(H64="--","--",IF(B64="brawl",(H64+CharacterSheet!$E$16+CharacterSheet!$E$7)/2+CharacterSheet!$G$7,IF(B64="melee",(H64+CharacterSheet!$E$7+CharacterSheet!$M$15)/2+CharacterSheet!$G$7,"--")))</f>
        <v>--</v>
      </c>
      <c r="J64" s="193">
        <v>6</v>
      </c>
      <c r="K64" s="193">
        <v>1800</v>
      </c>
      <c r="L64" s="208" t="s">
        <v>835</v>
      </c>
    </row>
    <row r="65" spans="1:12" x14ac:dyDescent="0.25">
      <c r="A65" s="192" t="s">
        <v>726</v>
      </c>
      <c r="B65" s="193" t="s">
        <v>48</v>
      </c>
      <c r="C65" s="193">
        <v>0</v>
      </c>
      <c r="D65" s="193">
        <f>IF(B65="Melee",C65+CharacterSheet!$E$7+CharacterSheet!$M$15,IF(B65="brawl",C65+CharacterSheet!$E$7+CharacterSheet!$E$16,IF(B65="Marks",C65+CharacterSheet!$E$7+CharacterSheet!$M$13,IF(B65="Thrown",C65+CharacterSheet!$E$7+CharacterSheet!$M$21,"Error"))))</f>
        <v>1</v>
      </c>
      <c r="E65" s="193">
        <v>3</v>
      </c>
      <c r="F65" s="193">
        <f>IF(B65="marks",E65+CharacterSheet!$M$13,IF(B65="thrown",E65+CharacterSheet!$M$21,IF(B65="brawl",E65+CharacterSheet!$E$6+CharacterSheet!$E$16,IF(B65="melee",E65+CharacterSheet!$M$15+CharacterSheet!$E$6,"Error"))))</f>
        <v>4</v>
      </c>
      <c r="G65" s="193" t="s">
        <v>833</v>
      </c>
      <c r="H65" s="193">
        <v>0</v>
      </c>
      <c r="I65" s="193">
        <f>IF(H65="--","--",IF(B65="brawl",(H65+CharacterSheet!$E$16+CharacterSheet!$E$7)/2+CharacterSheet!$G$7,IF(B65="melee",(H65+CharacterSheet!$E$7+CharacterSheet!$M$15)/2+CharacterSheet!$G$7,"--")))</f>
        <v>0.5</v>
      </c>
      <c r="J65" s="193">
        <v>5</v>
      </c>
      <c r="K65" s="193" t="s">
        <v>831</v>
      </c>
      <c r="L65" s="208" t="s">
        <v>831</v>
      </c>
    </row>
    <row r="66" spans="1:12" x14ac:dyDescent="0.25">
      <c r="A66" s="192" t="s">
        <v>890</v>
      </c>
      <c r="B66" s="193" t="s">
        <v>48</v>
      </c>
      <c r="C66" s="193">
        <v>4</v>
      </c>
      <c r="D66" s="193">
        <f>IF(B66="Melee",C66+CharacterSheet!$E$7+CharacterSheet!$M$15,IF(B66="brawl",C66+CharacterSheet!$E$7+CharacterSheet!$E$16,IF(B66="Marks",C66+CharacterSheet!$E$7+CharacterSheet!$M$13,IF(B66="Thrown",C66+CharacterSheet!$E$7+CharacterSheet!$M$21,"Error"))))</f>
        <v>5</v>
      </c>
      <c r="E66" s="193">
        <v>5</v>
      </c>
      <c r="F66" s="193">
        <f>IF(B66="marks",E66+CharacterSheet!$M$13,IF(B66="thrown",E66+CharacterSheet!$M$21,IF(B66="brawl",E66+CharacterSheet!$E$6+CharacterSheet!$E$16,IF(B66="melee",E66+CharacterSheet!$M$15+CharacterSheet!$E$6,"Error"))))</f>
        <v>6</v>
      </c>
      <c r="G66" s="193" t="s">
        <v>117</v>
      </c>
      <c r="H66" s="193">
        <v>2</v>
      </c>
      <c r="I66" s="193">
        <f>IF(H66="--","--",IF(B66="brawl",(H66+CharacterSheet!$E$16+CharacterSheet!$E$7)/2+CharacterSheet!$G$7,IF(B66="melee",(H66+CharacterSheet!$E$7+CharacterSheet!$M$15)/2+CharacterSheet!$G$7,"--")))</f>
        <v>1.5</v>
      </c>
      <c r="J66" s="193">
        <v>4</v>
      </c>
      <c r="K66" s="193" t="s">
        <v>831</v>
      </c>
      <c r="L66" s="208" t="s">
        <v>831</v>
      </c>
    </row>
    <row r="67" spans="1:12" x14ac:dyDescent="0.25">
      <c r="A67" s="192" t="s">
        <v>806</v>
      </c>
      <c r="B67" s="193" t="s">
        <v>830</v>
      </c>
      <c r="C67" s="193">
        <v>3</v>
      </c>
      <c r="D67" s="193">
        <f>IF(B67="Melee",C67+CharacterSheet!$E$7+CharacterSheet!$M$15,IF(B67="brawl",C67+CharacterSheet!$E$7+CharacterSheet!$E$16,IF(B67="Marks",C67+CharacterSheet!$E$7+CharacterSheet!$M$13,IF(B67="Thrown",C67+CharacterSheet!$E$7+CharacterSheet!$M$21,"Error"))))</f>
        <v>4</v>
      </c>
      <c r="E67" s="193">
        <v>6</v>
      </c>
      <c r="F67" s="193">
        <f>IF(B67="marks",E67+CharacterSheet!$M$13,IF(B67="thrown",E67+CharacterSheet!$M$21,IF(B67="brawl",E67+CharacterSheet!$E$6+CharacterSheet!$E$16,IF(B67="melee",E67+CharacterSheet!$M$15+CharacterSheet!$E$6,"Error"))))</f>
        <v>6</v>
      </c>
      <c r="G67" s="193" t="s">
        <v>117</v>
      </c>
      <c r="H67" s="193" t="s">
        <v>831</v>
      </c>
      <c r="I67" s="193" t="str">
        <f>IF(H67="--","--",IF(B67="brawl",(H67+CharacterSheet!$E$16+CharacterSheet!$E$7)/2+CharacterSheet!$G$7,IF(B67="melee",(H67+CharacterSheet!$E$7+CharacterSheet!$M$15)/2+CharacterSheet!$G$7,"--")))</f>
        <v>--</v>
      </c>
      <c r="J67" s="193">
        <v>6</v>
      </c>
      <c r="K67" s="193">
        <v>200</v>
      </c>
      <c r="L67" s="208">
        <v>5</v>
      </c>
    </row>
    <row r="68" spans="1:12" x14ac:dyDescent="0.25">
      <c r="A68" s="192" t="s">
        <v>821</v>
      </c>
      <c r="B68" s="193" t="s">
        <v>830</v>
      </c>
      <c r="C68" s="193">
        <v>2</v>
      </c>
      <c r="D68" s="193">
        <f>IF(B68="Melee",C68+CharacterSheet!$E$7+CharacterSheet!$M$15,IF(B68="brawl",C68+CharacterSheet!$E$7+CharacterSheet!$E$16,IF(B68="Marks",C68+CharacterSheet!$E$7+CharacterSheet!$M$13,IF(B68="Thrown",C68+CharacterSheet!$E$7+CharacterSheet!$M$21,"Error"))))</f>
        <v>3</v>
      </c>
      <c r="E68" s="193">
        <v>11</v>
      </c>
      <c r="F68" s="193">
        <f>IF(B68="marks",E68+CharacterSheet!$M$13,IF(B68="thrown",E68+CharacterSheet!$M$21,IF(B68="brawl",E68+CharacterSheet!$E$6+CharacterSheet!$E$16,IF(B68="melee",E68+CharacterSheet!$M$15+CharacterSheet!$E$6,"Error"))))</f>
        <v>11</v>
      </c>
      <c r="G68" s="193" t="s">
        <v>117</v>
      </c>
      <c r="H68" s="193" t="s">
        <v>831</v>
      </c>
      <c r="I68" s="193" t="str">
        <f>IF(H68="--","--",IF(B68="brawl",(H68+CharacterSheet!$E$16+CharacterSheet!$E$7)/2+CharacterSheet!$G$7,IF(B68="melee",(H68+CharacterSheet!$E$7+CharacterSheet!$M$15)/2+CharacterSheet!$G$7,"--")))</f>
        <v>--</v>
      </c>
      <c r="J68" s="193">
        <v>6</v>
      </c>
      <c r="K68" s="193">
        <v>2400</v>
      </c>
      <c r="L68" s="208" t="s">
        <v>835</v>
      </c>
    </row>
    <row r="69" spans="1:12" x14ac:dyDescent="0.25">
      <c r="A69" s="192" t="s">
        <v>822</v>
      </c>
      <c r="B69" s="193" t="s">
        <v>830</v>
      </c>
      <c r="C69" s="193">
        <v>-1</v>
      </c>
      <c r="D69" s="193">
        <f>IF(B69="Melee",C69+CharacterSheet!$E$7+CharacterSheet!$M$15,IF(B69="brawl",C69+CharacterSheet!$E$7+CharacterSheet!$E$16,IF(B69="Marks",C69+CharacterSheet!$E$7+CharacterSheet!$M$13,IF(B69="Thrown",C69+CharacterSheet!$E$7+CharacterSheet!$M$21,"Error"))))</f>
        <v>0</v>
      </c>
      <c r="E69" s="193">
        <v>15</v>
      </c>
      <c r="F69" s="193">
        <f>IF(B69="marks",E69+CharacterSheet!$M$13,IF(B69="thrown",E69+CharacterSheet!$M$21,IF(B69="brawl",E69+CharacterSheet!$E$6+CharacterSheet!$E$16,IF(B69="melee",E69+CharacterSheet!$M$15+CharacterSheet!$E$6,"Error"))))</f>
        <v>15</v>
      </c>
      <c r="G69" s="193" t="s">
        <v>117</v>
      </c>
      <c r="H69" s="193" t="s">
        <v>831</v>
      </c>
      <c r="I69" s="193" t="str">
        <f>IF(H69="--","--",IF(B69="brawl",(H69+CharacterSheet!$E$16+CharacterSheet!$E$7)/2+CharacterSheet!$G$7,IF(B69="melee",(H69+CharacterSheet!$E$7+CharacterSheet!$M$15)/2+CharacterSheet!$G$7,"--")))</f>
        <v>--</v>
      </c>
      <c r="J69" s="193">
        <v>8</v>
      </c>
      <c r="K69" s="193">
        <v>2000</v>
      </c>
      <c r="L69" s="208">
        <v>1</v>
      </c>
    </row>
    <row r="70" spans="1:12" x14ac:dyDescent="0.25">
      <c r="A70" s="192" t="s">
        <v>755</v>
      </c>
      <c r="B70" s="193" t="s">
        <v>830</v>
      </c>
      <c r="C70" s="193">
        <v>0</v>
      </c>
      <c r="D70" s="193">
        <f>IF(B70="Melee",C70+CharacterSheet!$E$7+CharacterSheet!$M$15,IF(B70="brawl",C70+CharacterSheet!$E$7+CharacterSheet!$E$16,IF(B70="Marks",C70+CharacterSheet!$E$7+CharacterSheet!$M$13,IF(B70="Thrown",C70+CharacterSheet!$E$7+CharacterSheet!$M$21,"Error"))))</f>
        <v>1</v>
      </c>
      <c r="E70" s="193">
        <v>6</v>
      </c>
      <c r="F70" s="193">
        <f>IF(B70="marks",E70+CharacterSheet!$M$13,IF(B70="thrown",E70+CharacterSheet!$M$21,IF(B70="brawl",E70+CharacterSheet!$E$6+CharacterSheet!$E$16,IF(B70="melee",E70+CharacterSheet!$M$15+CharacterSheet!$E$6,"Error"))))</f>
        <v>6</v>
      </c>
      <c r="G70" s="193" t="s">
        <v>117</v>
      </c>
      <c r="H70" s="193" t="s">
        <v>831</v>
      </c>
      <c r="I70" s="193" t="str">
        <f>IF(H70="--","--",IF(B70="brawl",(H70+CharacterSheet!$E$16+CharacterSheet!$E$7)/2+CharacterSheet!$G$7,IF(B70="melee",(H70+CharacterSheet!$E$7+CharacterSheet!$M$15)/2+CharacterSheet!$G$7,"--")))</f>
        <v>--</v>
      </c>
      <c r="J70" s="193">
        <v>5</v>
      </c>
      <c r="K70" s="193">
        <v>20</v>
      </c>
      <c r="L70" s="208">
        <v>8</v>
      </c>
    </row>
    <row r="71" spans="1:12" x14ac:dyDescent="0.25">
      <c r="A71" s="192" t="s">
        <v>805</v>
      </c>
      <c r="B71" s="193" t="s">
        <v>830</v>
      </c>
      <c r="C71" s="193">
        <v>0</v>
      </c>
      <c r="D71" s="193">
        <f>IF(B71="Melee",C71+CharacterSheet!$E$7+CharacterSheet!$M$15,IF(B71="brawl",C71+CharacterSheet!$E$7+CharacterSheet!$E$16,IF(B71="Marks",C71+CharacterSheet!$E$7+CharacterSheet!$M$13,IF(B71="Thrown",C71+CharacterSheet!$E$7+CharacterSheet!$M$21,"Error"))))</f>
        <v>1</v>
      </c>
      <c r="E71" s="193">
        <v>3</v>
      </c>
      <c r="F71" s="193">
        <f>IF(B71="marks",E71+CharacterSheet!$M$13,IF(B71="thrown",E71+CharacterSheet!$M$21,IF(B71="brawl",E71+CharacterSheet!$E$6+CharacterSheet!$E$16,IF(B71="melee",E71+CharacterSheet!$M$15+CharacterSheet!$E$6,"Error"))))</f>
        <v>3</v>
      </c>
      <c r="G71" s="193" t="s">
        <v>117</v>
      </c>
      <c r="H71" s="193" t="s">
        <v>831</v>
      </c>
      <c r="I71" s="193" t="str">
        <f>IF(H71="--","--",IF(B71="brawl",(H71+CharacterSheet!$E$16+CharacterSheet!$E$7)/2+CharacterSheet!$G$7,IF(B71="melee",(H71+CharacterSheet!$E$7+CharacterSheet!$M$15)/2+CharacterSheet!$G$7,"--")))</f>
        <v>--</v>
      </c>
      <c r="J71" s="193">
        <v>5</v>
      </c>
      <c r="K71" s="193">
        <v>30</v>
      </c>
      <c r="L71" s="208">
        <v>30</v>
      </c>
    </row>
    <row r="72" spans="1:12" x14ac:dyDescent="0.25">
      <c r="A72" s="192" t="s">
        <v>727</v>
      </c>
      <c r="B72" s="193" t="s">
        <v>48</v>
      </c>
      <c r="C72" s="193">
        <v>1</v>
      </c>
      <c r="D72" s="193">
        <f>IF(B72="Melee",C72+CharacterSheet!$E$7+CharacterSheet!$M$15,IF(B72="brawl",C72+CharacterSheet!$E$7+CharacterSheet!$E$16,IF(B72="Marks",C72+CharacterSheet!$E$7+CharacterSheet!$M$13,IF(B72="Thrown",C72+CharacterSheet!$E$7+CharacterSheet!$M$21,"Error"))))</f>
        <v>2</v>
      </c>
      <c r="E72" s="193">
        <v>4</v>
      </c>
      <c r="F72" s="193">
        <f>IF(B72="marks",E72+CharacterSheet!$M$13,IF(B72="thrown",E72+CharacterSheet!$M$21,IF(B72="brawl",E72+CharacterSheet!$E$6+CharacterSheet!$E$16,IF(B72="melee",E72+CharacterSheet!$M$15+CharacterSheet!$E$6,"Error"))))</f>
        <v>5</v>
      </c>
      <c r="G72" s="193" t="s">
        <v>117</v>
      </c>
      <c r="H72" s="193">
        <v>1</v>
      </c>
      <c r="I72" s="193">
        <f>IF(H72="--","--",IF(B72="brawl",(H72+CharacterSheet!$E$16+CharacterSheet!$E$7)/2+CharacterSheet!$G$7,IF(B72="melee",(H72+CharacterSheet!$E$7+CharacterSheet!$M$15)/2+CharacterSheet!$G$7,"--")))</f>
        <v>1</v>
      </c>
      <c r="J72" s="193">
        <v>5</v>
      </c>
      <c r="K72" s="193" t="s">
        <v>831</v>
      </c>
      <c r="L72" s="208" t="s">
        <v>831</v>
      </c>
    </row>
    <row r="73" spans="1:12" x14ac:dyDescent="0.25">
      <c r="A73" s="192" t="s">
        <v>823</v>
      </c>
      <c r="B73" s="193" t="s">
        <v>830</v>
      </c>
      <c r="C73" s="193">
        <v>-4</v>
      </c>
      <c r="D73" s="193">
        <f>IF(B73="Melee",C73+CharacterSheet!$E$7+CharacterSheet!$M$15,IF(B73="brawl",C73+CharacterSheet!$E$7+CharacterSheet!$E$16,IF(B73="Marks",C73+CharacterSheet!$E$7+CharacterSheet!$M$13,IF(B73="Thrown",C73+CharacterSheet!$E$7+CharacterSheet!$M$21,"Error"))))</f>
        <v>-3</v>
      </c>
      <c r="E73" s="193">
        <v>30</v>
      </c>
      <c r="F73" s="193">
        <f>IF(B73="marks",E73+CharacterSheet!$M$13,IF(B73="thrown",E73+CharacterSheet!$M$21,IF(B73="brawl",E73+CharacterSheet!$E$6+CharacterSheet!$E$16,IF(B73="melee",E73+CharacterSheet!$M$15+CharacterSheet!$E$6,"Error"))))</f>
        <v>30</v>
      </c>
      <c r="G73" s="193" t="s">
        <v>117</v>
      </c>
      <c r="H73" s="193" t="s">
        <v>831</v>
      </c>
      <c r="I73" s="193" t="str">
        <f>IF(H73="--","--",IF(B73="brawl",(H73+CharacterSheet!$E$16+CharacterSheet!$E$7)/2+CharacterSheet!$G$7,IF(B73="melee",(H73+CharacterSheet!$E$7+CharacterSheet!$M$15)/2+CharacterSheet!$G$7,"--")))</f>
        <v>--</v>
      </c>
      <c r="J73" s="193">
        <v>8</v>
      </c>
      <c r="K73" s="193">
        <v>1500</v>
      </c>
      <c r="L73" s="208">
        <v>6</v>
      </c>
    </row>
    <row r="74" spans="1:12" x14ac:dyDescent="0.25">
      <c r="A74" s="192" t="s">
        <v>885</v>
      </c>
      <c r="B74" s="193" t="s">
        <v>48</v>
      </c>
      <c r="C74" s="193">
        <v>3</v>
      </c>
      <c r="D74" s="193">
        <f>IF(B74="Melee",C74+CharacterSheet!$E$7+CharacterSheet!$M$15,IF(B74="brawl",C74+CharacterSheet!$E$7+CharacterSheet!$E$16,IF(B74="Marks",C74+CharacterSheet!$E$7+CharacterSheet!$M$13,IF(B74="Thrown",C74+CharacterSheet!$E$7+CharacterSheet!$M$21,"Error"))))</f>
        <v>4</v>
      </c>
      <c r="E74" s="193">
        <v>4</v>
      </c>
      <c r="F74" s="193">
        <f>IF(B74="marks",E74+CharacterSheet!$M$13,IF(B74="thrown",E74+CharacterSheet!$M$21,IF(B74="brawl",E74+CharacterSheet!$E$6+CharacterSheet!$E$16,IF(B74="melee",E74+CharacterSheet!$M$15+CharacterSheet!$E$6,"Error"))))</f>
        <v>5</v>
      </c>
      <c r="G74" s="193" t="s">
        <v>117</v>
      </c>
      <c r="H74" s="193">
        <v>3</v>
      </c>
      <c r="I74" s="193">
        <f>IF(H74="--","--",IF(B74="brawl",(H74+CharacterSheet!$E$16+CharacterSheet!$E$7)/2+CharacterSheet!$G$7,IF(B74="melee",(H74+CharacterSheet!$E$7+CharacterSheet!$M$15)/2+CharacterSheet!$G$7,"--")))</f>
        <v>2</v>
      </c>
      <c r="J74" s="193">
        <v>3</v>
      </c>
      <c r="K74" s="193" t="s">
        <v>831</v>
      </c>
      <c r="L74" s="208" t="s">
        <v>831</v>
      </c>
    </row>
    <row r="75" spans="1:12" x14ac:dyDescent="0.25">
      <c r="A75" s="192" t="s">
        <v>749</v>
      </c>
      <c r="B75" s="193" t="s">
        <v>830</v>
      </c>
      <c r="C75" s="193">
        <v>2</v>
      </c>
      <c r="D75" s="193">
        <f>IF(B75="Melee",C75+CharacterSheet!$E$7+CharacterSheet!$M$15,IF(B75="brawl",C75+CharacterSheet!$E$7+CharacterSheet!$E$16,IF(B75="Marks",C75+CharacterSheet!$E$7+CharacterSheet!$M$13,IF(B75="Thrown",C75+CharacterSheet!$E$7+CharacterSheet!$M$21,"Error"))))</f>
        <v>3</v>
      </c>
      <c r="E75" s="193">
        <v>4</v>
      </c>
      <c r="F75" s="193">
        <f>IF(B75="marks",E75+CharacterSheet!$M$13,IF(B75="thrown",E75+CharacterSheet!$M$21,IF(B75="brawl",E75+CharacterSheet!$E$6+CharacterSheet!$E$16,IF(B75="melee",E75+CharacterSheet!$M$15+CharacterSheet!$E$6,"Error"))))</f>
        <v>4</v>
      </c>
      <c r="G75" s="193" t="s">
        <v>117</v>
      </c>
      <c r="H75" s="193" t="s">
        <v>831</v>
      </c>
      <c r="I75" s="193" t="str">
        <f>IF(H75="--","--",IF(B75="brawl",(H75+CharacterSheet!$E$16+CharacterSheet!$E$7)/2+CharacterSheet!$G$7,IF(B75="melee",(H75+CharacterSheet!$E$7+CharacterSheet!$M$15)/2+CharacterSheet!$G$7,"--")))</f>
        <v>--</v>
      </c>
      <c r="J75" s="193">
        <v>5</v>
      </c>
      <c r="K75" s="193">
        <v>20</v>
      </c>
      <c r="L75" s="208">
        <v>6</v>
      </c>
    </row>
    <row r="76" spans="1:12" x14ac:dyDescent="0.25">
      <c r="A76" s="192" t="s">
        <v>782</v>
      </c>
      <c r="B76" s="193" t="s">
        <v>830</v>
      </c>
      <c r="C76" s="193">
        <v>1</v>
      </c>
      <c r="D76" s="193">
        <f>IF(B76="Melee",C76+CharacterSheet!$E$7+CharacterSheet!$M$15,IF(B76="brawl",C76+CharacterSheet!$E$7+CharacterSheet!$E$16,IF(B76="Marks",C76+CharacterSheet!$E$7+CharacterSheet!$M$13,IF(B76="Thrown",C76+CharacterSheet!$E$7+CharacterSheet!$M$21,"Error"))))</f>
        <v>2</v>
      </c>
      <c r="E76" s="193">
        <v>1</v>
      </c>
      <c r="F76" s="193">
        <f>IF(B76="marks",E76+CharacterSheet!$M$13,IF(B76="thrown",E76+CharacterSheet!$M$21,IF(B76="brawl",E76+CharacterSheet!$E$6+CharacterSheet!$E$16,IF(B76="melee",E76+CharacterSheet!$M$15+CharacterSheet!$E$6,"Error"))))</f>
        <v>1</v>
      </c>
      <c r="G76" s="193" t="s">
        <v>116</v>
      </c>
      <c r="H76" s="193" t="s">
        <v>831</v>
      </c>
      <c r="I76" s="193" t="str">
        <f>IF(H76="--","--",IF(B76="brawl",(H76+CharacterSheet!$E$16+CharacterSheet!$E$7)/2+CharacterSheet!$G$7,IF(B76="melee",(H76+CharacterSheet!$E$7+CharacterSheet!$M$15)/2+CharacterSheet!$G$7,"--")))</f>
        <v>--</v>
      </c>
      <c r="J76" s="193" t="s">
        <v>831</v>
      </c>
      <c r="K76" s="193">
        <v>5</v>
      </c>
      <c r="L76" s="208">
        <v>30</v>
      </c>
    </row>
    <row r="77" spans="1:12" x14ac:dyDescent="0.25">
      <c r="A77" s="192" t="s">
        <v>744</v>
      </c>
      <c r="B77" s="193" t="s">
        <v>54</v>
      </c>
      <c r="C77" s="193">
        <v>0</v>
      </c>
      <c r="D77" s="193">
        <f>IF(B77="Melee",C77+CharacterSheet!$E$7+CharacterSheet!$M$15,IF(B77="brawl",C77+CharacterSheet!$E$7+CharacterSheet!$E$16,IF(B77="Marks",C77+CharacterSheet!$E$7+CharacterSheet!$M$13,IF(B77="Thrown",C77+CharacterSheet!$E$7+CharacterSheet!$M$21,"Error"))))</f>
        <v>1</v>
      </c>
      <c r="E77" s="193">
        <v>2</v>
      </c>
      <c r="F77" s="193">
        <f>IF(B77="marks",E77+CharacterSheet!$M$13,IF(B77="thrown",E77+CharacterSheet!$M$21,IF(B77="brawl",E77+CharacterSheet!$E$6+CharacterSheet!$E$16,IF(B77="melee",E77+CharacterSheet!$M$15+CharacterSheet!$E$6,"Error"))))</f>
        <v>2</v>
      </c>
      <c r="G77" s="193" t="s">
        <v>117</v>
      </c>
      <c r="H77" s="193" t="s">
        <v>831</v>
      </c>
      <c r="I77" s="193" t="str">
        <f>IF(H77="--","--",IF(B77="brawl",(H77+CharacterSheet!$E$16+CharacterSheet!$E$7)/2+CharacterSheet!$G$7,IF(B77="melee",(H77+CharacterSheet!$E$7+CharacterSheet!$M$15)/2+CharacterSheet!$G$7,"--")))</f>
        <v>--</v>
      </c>
      <c r="J77" s="193">
        <v>6</v>
      </c>
      <c r="K77" s="193">
        <f>IF(CharacterSheet!$R$33="Yes",10*LOOKUP(CharacterSheet!$F$6,Reference!$H$2:$H$12,Reference!$J$2:$J$12)*2,10*LOOKUP(CharacterSheet!$F$6,Reference!$H$2:$H$12,Reference!$J$2:$J$12))</f>
        <v>10</v>
      </c>
      <c r="L77" s="208" t="s">
        <v>831</v>
      </c>
    </row>
    <row r="78" spans="1:12" x14ac:dyDescent="0.25">
      <c r="A78" s="192" t="s">
        <v>807</v>
      </c>
      <c r="B78" s="193" t="s">
        <v>830</v>
      </c>
      <c r="C78" s="193">
        <v>0</v>
      </c>
      <c r="D78" s="193">
        <f>IF(B78="Melee",C78+CharacterSheet!$E$7+CharacterSheet!$M$15,IF(B78="brawl",C78+CharacterSheet!$E$7+CharacterSheet!$E$16,IF(B78="Marks",C78+CharacterSheet!$E$7+CharacterSheet!$M$13,IF(B78="Thrown",C78+CharacterSheet!$E$7+CharacterSheet!$M$21,"Error"))))</f>
        <v>1</v>
      </c>
      <c r="E78" s="193">
        <v>3</v>
      </c>
      <c r="F78" s="193">
        <f>IF(B78="marks",E78+CharacterSheet!$M$13,IF(B78="thrown",E78+CharacterSheet!$M$21,IF(B78="brawl",E78+CharacterSheet!$E$6+CharacterSheet!$E$16,IF(B78="melee",E78+CharacterSheet!$M$15+CharacterSheet!$E$6,"Error"))))</f>
        <v>3</v>
      </c>
      <c r="G78" s="193" t="s">
        <v>117</v>
      </c>
      <c r="H78" s="193" t="s">
        <v>831</v>
      </c>
      <c r="I78" s="193" t="str">
        <f>IF(H78="--","--",IF(B78="brawl",(H78+CharacterSheet!$E$16+CharacterSheet!$E$7)/2+CharacterSheet!$G$7,IF(B78="melee",(H78+CharacterSheet!$E$7+CharacterSheet!$M$15)/2+CharacterSheet!$G$7,"--")))</f>
        <v>--</v>
      </c>
      <c r="J78" s="193">
        <v>5</v>
      </c>
      <c r="K78" s="193">
        <v>30</v>
      </c>
      <c r="L78" s="208">
        <v>70</v>
      </c>
    </row>
    <row r="79" spans="1:12" x14ac:dyDescent="0.25">
      <c r="A79" s="192" t="s">
        <v>736</v>
      </c>
      <c r="B79" s="193" t="s">
        <v>48</v>
      </c>
      <c r="C79" s="193">
        <v>0</v>
      </c>
      <c r="D79" s="193">
        <f>IF(B79="Melee",C79+CharacterSheet!$E$7+CharacterSheet!$M$15,IF(B79="brawl",C79+CharacterSheet!$E$7+CharacterSheet!$E$16,IF(B79="Marks",C79+CharacterSheet!$E$7+CharacterSheet!$M$13,IF(B79="Thrown",C79+CharacterSheet!$E$7+CharacterSheet!$M$21,"Error"))))</f>
        <v>1</v>
      </c>
      <c r="E79" s="193">
        <v>7</v>
      </c>
      <c r="F79" s="193">
        <f>IF(B79="marks",E79+CharacterSheet!$M$13,IF(B79="thrown",E79+CharacterSheet!$M$21,IF(B79="brawl",E79+CharacterSheet!$E$6+CharacterSheet!$E$16,IF(B79="melee",E79+CharacterSheet!$M$15+CharacterSheet!$E$6,"Error"))))</f>
        <v>8</v>
      </c>
      <c r="G79" s="193" t="s">
        <v>116</v>
      </c>
      <c r="H79" s="193">
        <v>-1</v>
      </c>
      <c r="I79" s="193">
        <f>IF(H79="--","--",IF(B79="brawl",(H79+CharacterSheet!$E$16+CharacterSheet!$E$7)/2+CharacterSheet!$G$7,IF(B79="melee",(H79+CharacterSheet!$E$7+CharacterSheet!$M$15)/2+CharacterSheet!$G$7,"--")))</f>
        <v>0</v>
      </c>
      <c r="J79" s="193">
        <v>5</v>
      </c>
      <c r="K79" s="193" t="s">
        <v>831</v>
      </c>
      <c r="L79" s="208" t="s">
        <v>831</v>
      </c>
    </row>
    <row r="80" spans="1:12" x14ac:dyDescent="0.25">
      <c r="A80" s="192" t="s">
        <v>894</v>
      </c>
      <c r="B80" s="193" t="s">
        <v>830</v>
      </c>
      <c r="C80" s="193">
        <v>1</v>
      </c>
      <c r="D80" s="193">
        <f>IF(B80="Melee",C80+CharacterSheet!$E$7+CharacterSheet!$M$15,IF(B80="brawl",C80+CharacterSheet!$E$7+CharacterSheet!$E$16,IF(B80="Marks",C80+CharacterSheet!$E$7+CharacterSheet!$M$13,IF(B80="Thrown",C80+CharacterSheet!$E$7+CharacterSheet!$M$21,"Error"))))</f>
        <v>2</v>
      </c>
      <c r="E80" s="193">
        <v>2</v>
      </c>
      <c r="F80" s="193">
        <f>IF(B80="marks",E80+CharacterSheet!$M$13,IF(B80="thrown",E80+CharacterSheet!$M$21,IF(B80="brawl",E80+CharacterSheet!$E$6+CharacterSheet!$E$16,IF(B80="melee",E80+CharacterSheet!$M$15+CharacterSheet!$E$6,"Error"))))</f>
        <v>2</v>
      </c>
      <c r="G80" s="193" t="s">
        <v>118</v>
      </c>
      <c r="H80" s="193" t="s">
        <v>831</v>
      </c>
      <c r="I80" s="193" t="str">
        <f>IF(H80="--","--",IF(B80="brawl",(H80+CharacterSheet!$E$16+CharacterSheet!$E$7)/2+CharacterSheet!$G$7,IF(B80="melee",(H80+CharacterSheet!$E$7+CharacterSheet!$M$15)/2+CharacterSheet!$G$7,"--")))</f>
        <v>--</v>
      </c>
      <c r="J80" s="193">
        <v>5</v>
      </c>
      <c r="K80" s="193">
        <v>30</v>
      </c>
      <c r="L80" s="208"/>
    </row>
    <row r="81" spans="1:12" x14ac:dyDescent="0.25">
      <c r="A81" s="192" t="s">
        <v>895</v>
      </c>
      <c r="B81" s="193" t="s">
        <v>48</v>
      </c>
      <c r="C81" s="193">
        <v>-1</v>
      </c>
      <c r="D81" s="193">
        <f>IF(B81="Melee",C81+CharacterSheet!$E$7+CharacterSheet!$M$15,IF(B81="brawl",C81+CharacterSheet!$E$7+CharacterSheet!$E$16,IF(B81="Marks",C81+CharacterSheet!$E$7+CharacterSheet!$M$13,IF(B81="Thrown",C81+CharacterSheet!$E$7+CharacterSheet!$M$21,"Error"))))</f>
        <v>0</v>
      </c>
      <c r="E81" s="193">
        <v>5</v>
      </c>
      <c r="F81" s="193">
        <f>IF(B81="marks",E81+CharacterSheet!$M$13,IF(B81="thrown",E81+CharacterSheet!$M$21,IF(B81="brawl",E81+CharacterSheet!$E$6+CharacterSheet!$E$16,IF(B81="melee",E81+CharacterSheet!$M$15+CharacterSheet!$E$6,"Error"))))</f>
        <v>6</v>
      </c>
      <c r="G81" s="193" t="s">
        <v>118</v>
      </c>
      <c r="H81" s="193">
        <v>-2</v>
      </c>
      <c r="I81" s="193">
        <f>IF(H81="--","--",IF(B81="brawl",(H81+CharacterSheet!$E$16+CharacterSheet!$E$7)/2+CharacterSheet!$G$7,IF(B81="melee",(H81+CharacterSheet!$E$7+CharacterSheet!$M$15)/2+CharacterSheet!$G$7,"--")))</f>
        <v>-0.5</v>
      </c>
      <c r="J81" s="193">
        <v>6</v>
      </c>
      <c r="K81" s="193" t="s">
        <v>831</v>
      </c>
      <c r="L81" s="208" t="s">
        <v>831</v>
      </c>
    </row>
    <row r="82" spans="1:12" x14ac:dyDescent="0.25">
      <c r="A82" s="192" t="s">
        <v>752</v>
      </c>
      <c r="B82" s="193" t="s">
        <v>830</v>
      </c>
      <c r="C82" s="193">
        <v>3</v>
      </c>
      <c r="D82" s="193">
        <f>IF(B82="Melee",C82+CharacterSheet!$E$7+CharacterSheet!$M$15,IF(B82="brawl",C82+CharacterSheet!$E$7+CharacterSheet!$E$16,IF(B82="Marks",C82+CharacterSheet!$E$7+CharacterSheet!$M$13,IF(B82="Thrown",C82+CharacterSheet!$E$7+CharacterSheet!$M$21,"Error"))))</f>
        <v>4</v>
      </c>
      <c r="E82" s="193">
        <v>7</v>
      </c>
      <c r="F82" s="193">
        <f>IF(B82="marks",E82+CharacterSheet!$M$13,IF(B82="thrown",E82+CharacterSheet!$M$21,IF(B82="brawl",E82+CharacterSheet!$E$6+CharacterSheet!$E$16,IF(B82="melee",E82+CharacterSheet!$M$15+CharacterSheet!$E$6,"Error"))))</f>
        <v>7</v>
      </c>
      <c r="G82" s="193" t="s">
        <v>117</v>
      </c>
      <c r="H82" s="193" t="s">
        <v>831</v>
      </c>
      <c r="I82" s="193" t="str">
        <f>IF(H82="--","--",IF(B82="brawl",(H82+CharacterSheet!$E$16+CharacterSheet!$E$7)/2+CharacterSheet!$G$7,IF(B82="melee",(H82+CharacterSheet!$E$7+CharacterSheet!$M$15)/2+CharacterSheet!$G$7,"--")))</f>
        <v>--</v>
      </c>
      <c r="J82" s="193">
        <v>6</v>
      </c>
      <c r="K82" s="193">
        <v>200</v>
      </c>
      <c r="L82" s="208">
        <v>4</v>
      </c>
    </row>
    <row r="83" spans="1:12" x14ac:dyDescent="0.25">
      <c r="A83" s="192" t="s">
        <v>899</v>
      </c>
      <c r="B83" s="193" t="s">
        <v>48</v>
      </c>
      <c r="C83" s="193">
        <v>1</v>
      </c>
      <c r="D83" s="193">
        <f>IF(B83="Melee",C83+CharacterSheet!$E$7+CharacterSheet!$M$15,IF(B83="brawl",C83+CharacterSheet!$E$7+CharacterSheet!$E$16,IF(B83="Marks",C83+CharacterSheet!$E$7+CharacterSheet!$M$13,IF(B83="Thrown",C83+CharacterSheet!$E$7+CharacterSheet!$M$21,"Error"))))</f>
        <v>2</v>
      </c>
      <c r="E83" s="193">
        <v>9</v>
      </c>
      <c r="F83" s="193">
        <f>IF(B83="marks",E83+CharacterSheet!$M$13,IF(B83="thrown",E83+CharacterSheet!$M$21,IF(B83="brawl",E83+CharacterSheet!$E$6+CharacterSheet!$E$16,IF(B83="melee",E83+CharacterSheet!$M$15+CharacterSheet!$E$6,"Error"))))</f>
        <v>10</v>
      </c>
      <c r="G83" s="193" t="s">
        <v>117</v>
      </c>
      <c r="H83" s="193">
        <v>0</v>
      </c>
      <c r="I83" s="193">
        <f>IF(H83="--","--",IF(B83="brawl",(H83+CharacterSheet!$E$16+CharacterSheet!$E$7)/2+CharacterSheet!$G$7,IF(B83="melee",(H83+CharacterSheet!$E$7+CharacterSheet!$M$15)/2+CharacterSheet!$G$7,"--")))</f>
        <v>0.5</v>
      </c>
      <c r="J83" s="193">
        <v>5</v>
      </c>
      <c r="K83" s="193" t="s">
        <v>831</v>
      </c>
      <c r="L83" s="208" t="s">
        <v>831</v>
      </c>
    </row>
    <row r="84" spans="1:12" x14ac:dyDescent="0.25">
      <c r="A84" s="192" t="s">
        <v>728</v>
      </c>
      <c r="B84" s="193" t="s">
        <v>48</v>
      </c>
      <c r="C84" s="193">
        <v>-1</v>
      </c>
      <c r="D84" s="193">
        <f>IF(B84="Melee",C84+CharacterSheet!$E$7+CharacterSheet!$M$15,IF(B84="brawl",C84+CharacterSheet!$E$7+CharacterSheet!$E$16,IF(B84="Marks",C84+CharacterSheet!$E$7+CharacterSheet!$M$13,IF(B84="Thrown",C84+CharacterSheet!$E$7+CharacterSheet!$M$21,"Error"))))</f>
        <v>0</v>
      </c>
      <c r="E84" s="193">
        <v>2</v>
      </c>
      <c r="F84" s="193">
        <f>IF(B84="marks",E84+CharacterSheet!$M$13,IF(B84="thrown",E84+CharacterSheet!$M$21,IF(B84="brawl",E84+CharacterSheet!$E$6+CharacterSheet!$E$16,IF(B84="melee",E84+CharacterSheet!$M$15+CharacterSheet!$E$6,"Error"))))</f>
        <v>3</v>
      </c>
      <c r="G84" s="193" t="s">
        <v>116</v>
      </c>
      <c r="H84" s="193">
        <v>1</v>
      </c>
      <c r="I84" s="193">
        <f>IF(H84="--","--",IF(B84="brawl",(H84+CharacterSheet!$E$16+CharacterSheet!$E$7)/2+CharacterSheet!$G$7,IF(B84="melee",(H84+CharacterSheet!$E$7+CharacterSheet!$M$15)/2+CharacterSheet!$G$7,"--")))</f>
        <v>1</v>
      </c>
      <c r="J84" s="193">
        <v>6</v>
      </c>
      <c r="K84" s="193" t="s">
        <v>831</v>
      </c>
      <c r="L84" s="208" t="s">
        <v>831</v>
      </c>
    </row>
    <row r="85" spans="1:12" x14ac:dyDescent="0.25">
      <c r="A85" s="192" t="s">
        <v>868</v>
      </c>
      <c r="B85" s="193" t="s">
        <v>48</v>
      </c>
      <c r="C85" s="193">
        <v>4</v>
      </c>
      <c r="D85" s="193">
        <f>IF(B85="Melee",C85+CharacterSheet!$E$7+CharacterSheet!$M$15,IF(B85="brawl",C85+CharacterSheet!$E$7+CharacterSheet!$E$16,IF(B85="Marks",C85+CharacterSheet!$E$7+CharacterSheet!$M$13,IF(B85="Thrown",C85+CharacterSheet!$E$7+CharacterSheet!$M$21,"Error"))))</f>
        <v>5</v>
      </c>
      <c r="E85" s="193">
        <v>5</v>
      </c>
      <c r="F85" s="193">
        <f>IF(B85="marks",E85+CharacterSheet!$M$13,IF(B85="thrown",E85+CharacterSheet!$M$21,IF(B85="brawl",E85+CharacterSheet!$E$6+CharacterSheet!$E$16,IF(B85="melee",E85+CharacterSheet!$M$15+CharacterSheet!$E$6,"Error"))))</f>
        <v>6</v>
      </c>
      <c r="G85" s="193" t="s">
        <v>117</v>
      </c>
      <c r="H85" s="193">
        <v>3</v>
      </c>
      <c r="I85" s="193">
        <f>IF(H85="--","--",IF(B85="brawl",(H85+CharacterSheet!$E$16+CharacterSheet!$E$7)/2+CharacterSheet!$G$7,IF(B85="melee",(H85+CharacterSheet!$E$7+CharacterSheet!$M$15)/2+CharacterSheet!$G$7,"--")))</f>
        <v>2</v>
      </c>
      <c r="J85" s="193">
        <v>5</v>
      </c>
      <c r="K85" s="193" t="s">
        <v>831</v>
      </c>
      <c r="L85" s="208" t="s">
        <v>831</v>
      </c>
    </row>
    <row r="86" spans="1:12" x14ac:dyDescent="0.25">
      <c r="A86" s="192" t="s">
        <v>783</v>
      </c>
      <c r="B86" s="193" t="s">
        <v>54</v>
      </c>
      <c r="C86" s="193">
        <v>-1</v>
      </c>
      <c r="D86" s="193">
        <f>IF(B86="Melee",C86+CharacterSheet!$E$7+CharacterSheet!$M$15,IF(B86="brawl",C86+CharacterSheet!$E$7+CharacterSheet!$E$16,IF(B86="Marks",C86+CharacterSheet!$E$7+CharacterSheet!$M$13,IF(B86="Thrown",C86+CharacterSheet!$E$7+CharacterSheet!$M$21,"Error"))))</f>
        <v>0</v>
      </c>
      <c r="E86" s="193">
        <v>2</v>
      </c>
      <c r="F86" s="193">
        <f>IF(B86="marks",E86+CharacterSheet!$M$13,IF(B86="thrown",E86+CharacterSheet!$M$21,IF(B86="brawl",E86+CharacterSheet!$E$6+CharacterSheet!$E$16,IF(B86="melee",E86+CharacterSheet!$M$15+CharacterSheet!$E$6,"Error"))))</f>
        <v>2</v>
      </c>
      <c r="G86" s="193" t="s">
        <v>117</v>
      </c>
      <c r="H86" s="193" t="s">
        <v>831</v>
      </c>
      <c r="I86" s="193" t="str">
        <f>IF(H86="--","--",IF(B86="brawl",(H86+CharacterSheet!$E$16+CharacterSheet!$E$7)/2+CharacterSheet!$G$7,IF(B86="melee",(H86+CharacterSheet!$E$7+CharacterSheet!$M$15)/2+CharacterSheet!$G$7,"--")))</f>
        <v>--</v>
      </c>
      <c r="J86" s="193">
        <v>5</v>
      </c>
      <c r="K86" s="193">
        <f>IF(CharacterSheet!$R$33="Yes",10*LOOKUP(CharacterSheet!$F$6,Reference!$H$2:$H$12,Reference!$J$2:$J$12)*2,10*LOOKUP(CharacterSheet!$F$6,Reference!$H$2:$H$12,Reference!$J$2:$J$12))</f>
        <v>10</v>
      </c>
      <c r="L86" s="208" t="s">
        <v>831</v>
      </c>
    </row>
    <row r="87" spans="1:12" x14ac:dyDescent="0.25">
      <c r="A87" s="192" t="s">
        <v>896</v>
      </c>
      <c r="B87" s="193" t="s">
        <v>48</v>
      </c>
      <c r="C87" s="193">
        <v>2</v>
      </c>
      <c r="D87" s="193">
        <f>IF(B87="Melee",C87+CharacterSheet!$E$7+CharacterSheet!$M$15,IF(B87="brawl",C87+CharacterSheet!$E$7+CharacterSheet!$E$16,IF(B87="Marks",C87+CharacterSheet!$E$7+CharacterSheet!$M$13,IF(B87="Thrown",C87+CharacterSheet!$E$7+CharacterSheet!$M$21,"Error"))))</f>
        <v>3</v>
      </c>
      <c r="E87" s="193">
        <v>4</v>
      </c>
      <c r="F87" s="193">
        <f>IF(B87="marks",E87+CharacterSheet!$M$13,IF(B87="thrown",E87+CharacterSheet!$M$21,IF(B87="brawl",E87+CharacterSheet!$E$6+CharacterSheet!$E$16,IF(B87="melee",E87+CharacterSheet!$M$15+CharacterSheet!$E$6,"Error"))))</f>
        <v>5</v>
      </c>
      <c r="G87" s="193" t="s">
        <v>116</v>
      </c>
      <c r="H87" s="193">
        <v>3</v>
      </c>
      <c r="I87" s="193">
        <f>IF(H87="--","--",IF(B87="brawl",(H87+CharacterSheet!$E$16+CharacterSheet!$E$7)/2+CharacterSheet!$G$7,IF(B87="melee",(H87+CharacterSheet!$E$7+CharacterSheet!$M$15)/2+CharacterSheet!$G$7,"--")))</f>
        <v>2</v>
      </c>
      <c r="J87" s="193">
        <v>4</v>
      </c>
      <c r="K87" s="193" t="s">
        <v>831</v>
      </c>
      <c r="L87" s="208" t="s">
        <v>831</v>
      </c>
    </row>
    <row r="88" spans="1:12" x14ac:dyDescent="0.25">
      <c r="A88" s="192" t="s">
        <v>729</v>
      </c>
      <c r="B88" s="193" t="s">
        <v>48</v>
      </c>
      <c r="C88" s="193">
        <v>1</v>
      </c>
      <c r="D88" s="193">
        <f>IF(B88="Melee",C88+CharacterSheet!$E$7+CharacterSheet!$M$15,IF(B88="brawl",C88+CharacterSheet!$E$7+CharacterSheet!$E$16,IF(B88="Marks",C88+CharacterSheet!$E$7+CharacterSheet!$M$13,IF(B88="Thrown",C88+CharacterSheet!$E$7+CharacterSheet!$M$21,"Error"))))</f>
        <v>2</v>
      </c>
      <c r="E88" s="193">
        <v>6</v>
      </c>
      <c r="F88" s="193">
        <f>IF(B88="marks",E88+CharacterSheet!$M$13,IF(B88="thrown",E88+CharacterSheet!$M$21,IF(B88="brawl",E88+CharacterSheet!$E$6+CharacterSheet!$E$16,IF(B88="melee",E88+CharacterSheet!$M$15+CharacterSheet!$E$6,"Error"))))</f>
        <v>7</v>
      </c>
      <c r="G88" s="193" t="s">
        <v>117</v>
      </c>
      <c r="H88" s="193">
        <v>0</v>
      </c>
      <c r="I88" s="193">
        <f>IF(H88="--","--",IF(B88="brawl",(H88+CharacterSheet!$E$16+CharacterSheet!$E$7)/2+CharacterSheet!$G$7,IF(B88="melee",(H88+CharacterSheet!$E$7+CharacterSheet!$M$15)/2+CharacterSheet!$G$7,"--")))</f>
        <v>0.5</v>
      </c>
      <c r="J88" s="193">
        <v>5</v>
      </c>
      <c r="K88" s="193" t="s">
        <v>831</v>
      </c>
      <c r="L88" s="208" t="s">
        <v>831</v>
      </c>
    </row>
    <row r="89" spans="1:12" x14ac:dyDescent="0.25">
      <c r="A89" s="192" t="s">
        <v>857</v>
      </c>
      <c r="B89" s="193" t="s">
        <v>830</v>
      </c>
      <c r="C89" s="193">
        <v>4</v>
      </c>
      <c r="D89" s="193">
        <f>IF(B89="Melee",C89+CharacterSheet!$E$7+CharacterSheet!$M$15,IF(B89="brawl",C89+CharacterSheet!$E$7+CharacterSheet!$E$16,IF(B89="Marks",C89+CharacterSheet!$E$7+CharacterSheet!$M$13,IF(B89="Thrown",C89+CharacterSheet!$E$7+CharacterSheet!$M$21,"Error"))))</f>
        <v>5</v>
      </c>
      <c r="E89" s="193">
        <v>5</v>
      </c>
      <c r="F89" s="193">
        <f>IF(B89="marks",E89+CharacterSheet!$M$13,IF(B89="thrown",E89+CharacterSheet!$M$21,IF(B89="brawl",E89+CharacterSheet!$E$6+CharacterSheet!$E$16,IF(B89="melee",E89+CharacterSheet!$M$15+CharacterSheet!$E$6,"Error"))))</f>
        <v>5</v>
      </c>
      <c r="G89" s="193" t="s">
        <v>117</v>
      </c>
      <c r="H89" s="29" t="s">
        <v>831</v>
      </c>
      <c r="I89" s="193" t="str">
        <f>IF(H89="--","--",IF(B89="brawl",(H89+CharacterSheet!$E$16+CharacterSheet!$E$7)/2+CharacterSheet!$G$7,IF(B89="melee",(H89+CharacterSheet!$E$7+CharacterSheet!$M$15)/2+CharacterSheet!$G$7,"--")))</f>
        <v>--</v>
      </c>
      <c r="J89" s="193">
        <v>5</v>
      </c>
      <c r="K89" s="193">
        <v>80</v>
      </c>
      <c r="L89" s="35" t="s">
        <v>831</v>
      </c>
    </row>
    <row r="90" spans="1:12" x14ac:dyDescent="0.25">
      <c r="A90" s="192" t="s">
        <v>858</v>
      </c>
      <c r="B90" s="193" t="s">
        <v>48</v>
      </c>
      <c r="C90" s="193">
        <v>3</v>
      </c>
      <c r="D90" s="193">
        <f>IF(B90="Melee",C90+CharacterSheet!$E$7+CharacterSheet!$M$15,IF(B90="brawl",C90+CharacterSheet!$E$7+CharacterSheet!$E$16,IF(B90="Marks",C90+CharacterSheet!$E$7+CharacterSheet!$M$13,IF(B90="Thrown",C90+CharacterSheet!$E$7+CharacterSheet!$M$21,"Error"))))</f>
        <v>4</v>
      </c>
      <c r="E90" s="193">
        <v>6</v>
      </c>
      <c r="F90" s="193">
        <f>IF(B90="marks",E90+CharacterSheet!$M$13,IF(B90="thrown",E90+CharacterSheet!$M$21,IF(B90="brawl",E90+CharacterSheet!$E$6+CharacterSheet!$E$16,IF(B90="melee",E90+CharacterSheet!$M$15+CharacterSheet!$E$6,"Error"))))</f>
        <v>7</v>
      </c>
      <c r="G90" s="193" t="s">
        <v>117</v>
      </c>
      <c r="H90" s="193">
        <v>2</v>
      </c>
      <c r="I90" s="193">
        <f>IF(H90="--","--",IF(B90="brawl",(H90+CharacterSheet!$E$16+CharacterSheet!$E$7)/2+CharacterSheet!$G$7,IF(B90="melee",(H90+CharacterSheet!$E$7+CharacterSheet!$M$15)/2+CharacterSheet!$G$7,"--")))</f>
        <v>1.5</v>
      </c>
      <c r="J90" s="193">
        <v>4</v>
      </c>
      <c r="K90" s="29" t="s">
        <v>831</v>
      </c>
      <c r="L90" s="35" t="s">
        <v>831</v>
      </c>
    </row>
    <row r="91" spans="1:12" x14ac:dyDescent="0.25">
      <c r="A91" s="192" t="s">
        <v>859</v>
      </c>
      <c r="B91" s="193" t="s">
        <v>48</v>
      </c>
      <c r="C91" s="193">
        <v>3</v>
      </c>
      <c r="D91" s="193">
        <f>IF(B91="Melee",C91+CharacterSheet!$E$7+CharacterSheet!$M$15,IF(B91="brawl",C91+CharacterSheet!$E$7+CharacterSheet!$E$16,IF(B91="Marks",C91+CharacterSheet!$E$7+CharacterSheet!$M$13,IF(B91="Thrown",C91+CharacterSheet!$E$7+CharacterSheet!$M$21,"Error"))))</f>
        <v>4</v>
      </c>
      <c r="E91" s="193">
        <v>3</v>
      </c>
      <c r="F91" s="193">
        <f>IF(B91="marks",E91+CharacterSheet!$M$13,IF(B91="thrown",E91+CharacterSheet!$M$21,IF(B91="brawl",E91+CharacterSheet!$E$6+CharacterSheet!$E$16,IF(B91="melee",E91+CharacterSheet!$M$15+CharacterSheet!$E$6,"Error"))))</f>
        <v>4</v>
      </c>
      <c r="G91" s="193" t="s">
        <v>117</v>
      </c>
      <c r="H91" s="193">
        <v>2</v>
      </c>
      <c r="I91" s="193">
        <f>IF(H91="--","--",IF(B91="brawl",(H91+CharacterSheet!$E$16+CharacterSheet!$E$7)/2+CharacterSheet!$G$7,IF(B91="melee",(H91+CharacterSheet!$E$7+CharacterSheet!$M$15)/2+CharacterSheet!$G$7,"--")))</f>
        <v>1.5</v>
      </c>
      <c r="J91" s="193">
        <v>4</v>
      </c>
      <c r="K91" s="29" t="s">
        <v>831</v>
      </c>
      <c r="L91" s="35" t="s">
        <v>831</v>
      </c>
    </row>
    <row r="92" spans="1:12" x14ac:dyDescent="0.25">
      <c r="A92" s="192" t="s">
        <v>730</v>
      </c>
      <c r="B92" s="193" t="s">
        <v>48</v>
      </c>
      <c r="C92" s="193">
        <v>1</v>
      </c>
      <c r="D92" s="193">
        <f>IF(B92="Melee",C92+CharacterSheet!$E$7+CharacterSheet!$M$15,IF(B92="brawl",C92+CharacterSheet!$E$7+CharacterSheet!$E$16,IF(B92="Marks",C92+CharacterSheet!$E$7+CharacterSheet!$M$13,IF(B92="Thrown",C92+CharacterSheet!$E$7+CharacterSheet!$M$21,"Error"))))</f>
        <v>2</v>
      </c>
      <c r="E92" s="193">
        <v>4</v>
      </c>
      <c r="F92" s="193">
        <f>IF(B92="marks",E92+CharacterSheet!$M$13,IF(B92="thrown",E92+CharacterSheet!$M$21,IF(B92="brawl",E92+CharacterSheet!$E$6+CharacterSheet!$E$16,IF(B92="melee",E92+CharacterSheet!$M$15+CharacterSheet!$E$6,"Error"))))</f>
        <v>5</v>
      </c>
      <c r="G92" s="193" t="s">
        <v>117</v>
      </c>
      <c r="H92" s="193">
        <v>1</v>
      </c>
      <c r="I92" s="193">
        <f>IF(H92="--","--",IF(B92="brawl",(H92+CharacterSheet!$E$16+CharacterSheet!$E$7)/2+CharacterSheet!$G$7,IF(B92="melee",(H92+CharacterSheet!$E$7+CharacterSheet!$M$15)/2+CharacterSheet!$G$7,"--")))</f>
        <v>1</v>
      </c>
      <c r="J92" s="193">
        <v>4</v>
      </c>
      <c r="K92" s="193" t="s">
        <v>831</v>
      </c>
      <c r="L92" s="208" t="s">
        <v>831</v>
      </c>
    </row>
    <row r="93" spans="1:12" x14ac:dyDescent="0.25">
      <c r="A93" s="192" t="s">
        <v>808</v>
      </c>
      <c r="B93" s="193" t="s">
        <v>830</v>
      </c>
      <c r="C93" s="193">
        <v>0</v>
      </c>
      <c r="D93" s="193">
        <f>IF(B93="Melee",C93+CharacterSheet!$E$7+CharacterSheet!$M$15,IF(B93="brawl",C93+CharacterSheet!$E$7+CharacterSheet!$E$16,IF(B93="Marks",C93+CharacterSheet!$E$7+CharacterSheet!$M$13,IF(B93="Thrown",C93+CharacterSheet!$E$7+CharacterSheet!$M$21,"Error"))))</f>
        <v>1</v>
      </c>
      <c r="E93" s="193">
        <v>5</v>
      </c>
      <c r="F93" s="193">
        <f>IF(B93="marks",E93+CharacterSheet!$M$13,IF(B93="thrown",E93+CharacterSheet!$M$21,IF(B93="brawl",E93+CharacterSheet!$E$6+CharacterSheet!$E$16,IF(B93="melee",E93+CharacterSheet!$M$15+CharacterSheet!$E$6,"Error"))))</f>
        <v>5</v>
      </c>
      <c r="G93" s="193" t="s">
        <v>117</v>
      </c>
      <c r="H93" s="193" t="s">
        <v>831</v>
      </c>
      <c r="I93" s="193" t="str">
        <f>IF(H93="--","--",IF(B93="brawl",(H93+CharacterSheet!$E$16+CharacterSheet!$E$7)/2+CharacterSheet!$G$7,IF(B93="melee",(H93+CharacterSheet!$E$7+CharacterSheet!$M$15)/2+CharacterSheet!$G$7,"--")))</f>
        <v>--</v>
      </c>
      <c r="J93" s="193">
        <v>5</v>
      </c>
      <c r="K93" s="193">
        <v>100</v>
      </c>
      <c r="L93" s="208">
        <v>30</v>
      </c>
    </row>
    <row r="94" spans="1:12" x14ac:dyDescent="0.25">
      <c r="A94" s="192" t="s">
        <v>877</v>
      </c>
      <c r="B94" s="193" t="s">
        <v>48</v>
      </c>
      <c r="C94" s="193">
        <v>4</v>
      </c>
      <c r="D94" s="193">
        <f>IF(B94="Melee",C94+CharacterSheet!$E$7+CharacterSheet!$M$15,IF(B94="brawl",C94+CharacterSheet!$E$7+CharacterSheet!$E$16,IF(B94="Marks",C94+CharacterSheet!$E$7+CharacterSheet!$M$13,IF(B94="Thrown",C94+CharacterSheet!$E$7+CharacterSheet!$M$21,"Error"))))</f>
        <v>5</v>
      </c>
      <c r="E94" s="193">
        <v>7</v>
      </c>
      <c r="F94" s="193">
        <f>IF(B94="marks",E94+CharacterSheet!$M$13,IF(B94="thrown",E94+CharacterSheet!$M$21,IF(B94="brawl",E94+CharacterSheet!$E$6+CharacterSheet!$E$16,IF(B94="melee",E94+CharacterSheet!$M$15+CharacterSheet!$E$6,"Error"))))</f>
        <v>8</v>
      </c>
      <c r="G94" s="193" t="s">
        <v>117</v>
      </c>
      <c r="H94" s="193">
        <v>5</v>
      </c>
      <c r="I94" s="193">
        <f>IF(H94="--","--",IF(B94="brawl",(H94+CharacterSheet!$E$16+CharacterSheet!$E$7)/2+CharacterSheet!$G$7,IF(B94="melee",(H94+CharacterSheet!$E$7+CharacterSheet!$M$15)/2+CharacterSheet!$G$7,"--")))</f>
        <v>3</v>
      </c>
      <c r="J94" s="193">
        <v>3</v>
      </c>
      <c r="K94" s="193" t="s">
        <v>831</v>
      </c>
      <c r="L94" s="208" t="s">
        <v>831</v>
      </c>
    </row>
    <row r="95" spans="1:12" x14ac:dyDescent="0.25">
      <c r="A95" s="192" t="s">
        <v>860</v>
      </c>
      <c r="B95" s="193" t="s">
        <v>830</v>
      </c>
      <c r="C95" s="193">
        <v>3</v>
      </c>
      <c r="D95" s="193">
        <f>IF(B95="Melee",C95+CharacterSheet!$E$7+CharacterSheet!$M$15,IF(B95="brawl",C95+CharacterSheet!$E$7+CharacterSheet!$E$16,IF(B95="Marks",C95+CharacterSheet!$E$7+CharacterSheet!$M$13,IF(B95="Thrown",C95+CharacterSheet!$E$7+CharacterSheet!$M$21,"Error"))))</f>
        <v>4</v>
      </c>
      <c r="E95" s="193">
        <v>3</v>
      </c>
      <c r="F95" s="193">
        <f>IF(B95="marks",E95+CharacterSheet!$M$13,IF(B95="thrown",E95+CharacterSheet!$M$21,IF(B95="brawl",E95+CharacterSheet!$E$6+CharacterSheet!$E$16,IF(B95="melee",E95+CharacterSheet!$M$15+CharacterSheet!$E$6,"Error"))))</f>
        <v>3</v>
      </c>
      <c r="G95" s="193" t="s">
        <v>117</v>
      </c>
      <c r="H95" s="29" t="s">
        <v>831</v>
      </c>
      <c r="I95" s="193" t="str">
        <f>IF(H95="--","--",IF(B95="brawl",(H95+CharacterSheet!$E$16+CharacterSheet!$E$7)/2+CharacterSheet!$G$7,IF(B95="melee",(H95+CharacterSheet!$E$7+CharacterSheet!$M$15)/2+CharacterSheet!$G$7,"--")))</f>
        <v>--</v>
      </c>
      <c r="J95" s="193">
        <v>5</v>
      </c>
      <c r="K95" s="193">
        <v>80</v>
      </c>
      <c r="L95" s="35" t="s">
        <v>831</v>
      </c>
    </row>
    <row r="96" spans="1:12" x14ac:dyDescent="0.25">
      <c r="A96" s="192" t="s">
        <v>861</v>
      </c>
      <c r="B96" s="193" t="s">
        <v>48</v>
      </c>
      <c r="C96" s="193">
        <v>3</v>
      </c>
      <c r="D96" s="193">
        <f>IF(B96="Melee",C96+CharacterSheet!$E$7+CharacterSheet!$M$15,IF(B96="brawl",C96+CharacterSheet!$E$7+CharacterSheet!$E$16,IF(B96="Marks",C96+CharacterSheet!$E$7+CharacterSheet!$M$13,IF(B96="Thrown",C96+CharacterSheet!$E$7+CharacterSheet!$M$21,"Error"))))</f>
        <v>4</v>
      </c>
      <c r="E96" s="193">
        <v>2</v>
      </c>
      <c r="F96" s="193">
        <f>IF(B96="marks",E96+CharacterSheet!$M$13,IF(B96="thrown",E96+CharacterSheet!$M$21,IF(B96="brawl",E96+CharacterSheet!$E$6+CharacterSheet!$E$16,IF(B96="melee",E96+CharacterSheet!$M$15+CharacterSheet!$E$6,"Error"))))</f>
        <v>3</v>
      </c>
      <c r="G96" s="193" t="s">
        <v>117</v>
      </c>
      <c r="H96" s="193">
        <v>2</v>
      </c>
      <c r="I96" s="193">
        <f>IF(H96="--","--",IF(B96="brawl",(H96+CharacterSheet!$E$16+CharacterSheet!$E$7)/2+CharacterSheet!$G$7,IF(B96="melee",(H96+CharacterSheet!$E$7+CharacterSheet!$M$15)/2+CharacterSheet!$G$7,"--")))</f>
        <v>1.5</v>
      </c>
      <c r="J96" s="193">
        <v>4</v>
      </c>
      <c r="K96" s="29" t="s">
        <v>831</v>
      </c>
      <c r="L96" s="35" t="s">
        <v>831</v>
      </c>
    </row>
    <row r="97" spans="1:12" x14ac:dyDescent="0.25">
      <c r="A97" s="192" t="s">
        <v>862</v>
      </c>
      <c r="B97" s="193" t="s">
        <v>48</v>
      </c>
      <c r="C97" s="193">
        <v>3</v>
      </c>
      <c r="D97" s="193">
        <f>IF(B97="Melee",C97+CharacterSheet!$E$7+CharacterSheet!$M$15,IF(B97="brawl",C97+CharacterSheet!$E$7+CharacterSheet!$E$16,IF(B97="Marks",C97+CharacterSheet!$E$7+CharacterSheet!$M$13,IF(B97="Thrown",C97+CharacterSheet!$E$7+CharacterSheet!$M$21,"Error"))))</f>
        <v>4</v>
      </c>
      <c r="E97" s="193">
        <v>2</v>
      </c>
      <c r="F97" s="193">
        <f>IF(B97="marks",E97+CharacterSheet!$M$13,IF(B97="thrown",E97+CharacterSheet!$M$21,IF(B97="brawl",E97+CharacterSheet!$E$6+CharacterSheet!$E$16,IF(B97="melee",E97+CharacterSheet!$M$15+CharacterSheet!$E$6,"Error"))))</f>
        <v>3</v>
      </c>
      <c r="G97" s="193" t="s">
        <v>117</v>
      </c>
      <c r="H97" s="193">
        <v>2</v>
      </c>
      <c r="I97" s="193">
        <f>IF(H97="--","--",IF(B97="brawl",(H97+CharacterSheet!$E$16+CharacterSheet!$E$7)/2+CharacterSheet!$G$7,IF(B97="melee",(H97+CharacterSheet!$E$7+CharacterSheet!$M$15)/2+CharacterSheet!$G$7,"--")))</f>
        <v>1.5</v>
      </c>
      <c r="J97" s="193">
        <v>4</v>
      </c>
      <c r="K97" s="29" t="s">
        <v>831</v>
      </c>
      <c r="L97" s="35" t="s">
        <v>831</v>
      </c>
    </row>
    <row r="98" spans="1:12" x14ac:dyDescent="0.25">
      <c r="A98" s="192" t="s">
        <v>784</v>
      </c>
      <c r="B98" s="193" t="s">
        <v>830</v>
      </c>
      <c r="C98" s="193">
        <v>-1</v>
      </c>
      <c r="D98" s="193">
        <f>IF(B98="Melee",C98+CharacterSheet!$E$7+CharacterSheet!$M$15,IF(B98="brawl",C98+CharacterSheet!$E$7+CharacterSheet!$E$16,IF(B98="Marks",C98+CharacterSheet!$E$7+CharacterSheet!$M$13,IF(B98="Thrown",C98+CharacterSheet!$E$7+CharacterSheet!$M$21,"Error"))))</f>
        <v>0</v>
      </c>
      <c r="E98" s="193">
        <v>3</v>
      </c>
      <c r="F98" s="193">
        <f>IF(B98="marks",E98+CharacterSheet!$M$13,IF(B98="thrown",E98+CharacterSheet!$M$21,IF(B98="brawl",E98+CharacterSheet!$E$6+CharacterSheet!$E$16,IF(B98="melee",E98+CharacterSheet!$M$15+CharacterSheet!$E$6,"Error"))))</f>
        <v>3</v>
      </c>
      <c r="G98" s="193" t="s">
        <v>116</v>
      </c>
      <c r="H98" s="193" t="s">
        <v>831</v>
      </c>
      <c r="I98" s="193" t="str">
        <f>IF(H98="--","--",IF(B98="brawl",(H98+CharacterSheet!$E$16+CharacterSheet!$E$7)/2+CharacterSheet!$G$7,IF(B98="melee",(H98+CharacterSheet!$E$7+CharacterSheet!$M$15)/2+CharacterSheet!$G$7,"--")))</f>
        <v>--</v>
      </c>
      <c r="J98" s="193">
        <v>6</v>
      </c>
      <c r="K98" s="193">
        <v>20</v>
      </c>
      <c r="L98" s="208">
        <v>1</v>
      </c>
    </row>
    <row r="99" spans="1:12" x14ac:dyDescent="0.25">
      <c r="A99" s="192" t="s">
        <v>856</v>
      </c>
      <c r="B99" s="193" t="s">
        <v>48</v>
      </c>
      <c r="C99" s="193">
        <v>3</v>
      </c>
      <c r="D99" s="193">
        <f>IF(B99="Melee",C99+CharacterSheet!$E$7+CharacterSheet!$M$15,IF(B99="brawl",C99+CharacterSheet!$E$7+CharacterSheet!$E$16,IF(B99="Marks",C99+CharacterSheet!$E$7+CharacterSheet!$M$13,IF(B99="Thrown",C99+CharacterSheet!$E$7+CharacterSheet!$M$21,"Error"))))</f>
        <v>4</v>
      </c>
      <c r="E99" s="193">
        <v>4</v>
      </c>
      <c r="F99" s="193">
        <f>IF(B99="marks",E99+CharacterSheet!$M$13,IF(B99="thrown",E99+CharacterSheet!$M$21,IF(B99="brawl",E99+CharacterSheet!$E$6+CharacterSheet!$E$16,IF(B99="melee",E99+CharacterSheet!$M$15+CharacterSheet!$E$6,"Error"))))</f>
        <v>5</v>
      </c>
      <c r="G99" s="193" t="s">
        <v>117</v>
      </c>
      <c r="H99" s="193">
        <v>2</v>
      </c>
      <c r="I99" s="193">
        <f>IF(H99="--","--",IF(B99="brawl",(H99+CharacterSheet!$E$16+CharacterSheet!$E$7)/2+CharacterSheet!$G$7,IF(B99="melee",(H99+CharacterSheet!$E$7+CharacterSheet!$M$15)/2+CharacterSheet!$G$7,"--")))</f>
        <v>1.5</v>
      </c>
      <c r="J99" s="193">
        <v>5</v>
      </c>
      <c r="K99" s="29" t="s">
        <v>831</v>
      </c>
      <c r="L99" s="35" t="s">
        <v>831</v>
      </c>
    </row>
    <row r="100" spans="1:12" x14ac:dyDescent="0.25">
      <c r="A100" s="192" t="s">
        <v>731</v>
      </c>
      <c r="B100" s="193" t="s">
        <v>48</v>
      </c>
      <c r="C100" s="193">
        <v>0</v>
      </c>
      <c r="D100" s="193">
        <f>IF(B100="Melee",C100+CharacterSheet!$E$7+CharacterSheet!$M$15,IF(B100="brawl",C100+CharacterSheet!$E$7+CharacterSheet!$E$16,IF(B100="Marks",C100+CharacterSheet!$E$7+CharacterSheet!$M$13,IF(B100="Thrown",C100+CharacterSheet!$E$7+CharacterSheet!$M$21,"Error"))))</f>
        <v>1</v>
      </c>
      <c r="E100" s="193">
        <v>4</v>
      </c>
      <c r="F100" s="193">
        <f>IF(B100="marks",E100+CharacterSheet!$M$13,IF(B100="thrown",E100+CharacterSheet!$M$21,IF(B100="brawl",E100+CharacterSheet!$E$6+CharacterSheet!$E$16,IF(B100="melee",E100+CharacterSheet!$M$15+CharacterSheet!$E$6,"Error"))))</f>
        <v>5</v>
      </c>
      <c r="G100" s="193" t="s">
        <v>117</v>
      </c>
      <c r="H100" s="193">
        <v>2</v>
      </c>
      <c r="I100" s="193">
        <f>IF(H100="--","--",IF(B100="brawl",(H100+CharacterSheet!$E$16+CharacterSheet!$E$7)/2+CharacterSheet!$G$7,IF(B100="melee",(H100+CharacterSheet!$E$7+CharacterSheet!$M$15)/2+CharacterSheet!$G$7,"--")))</f>
        <v>1.5</v>
      </c>
      <c r="J100" s="193">
        <v>5</v>
      </c>
      <c r="K100" s="193" t="s">
        <v>831</v>
      </c>
      <c r="L100" s="208" t="s">
        <v>831</v>
      </c>
    </row>
    <row r="101" spans="1:12" x14ac:dyDescent="0.25">
      <c r="A101" s="192" t="s">
        <v>875</v>
      </c>
      <c r="B101" s="193" t="s">
        <v>48</v>
      </c>
      <c r="C101" s="193">
        <v>4</v>
      </c>
      <c r="D101" s="193">
        <f>IF(B101="Melee",C101+CharacterSheet!$E$7+CharacterSheet!$M$15,IF(B101="brawl",C101+CharacterSheet!$E$7+CharacterSheet!$E$16,IF(B101="Marks",C101+CharacterSheet!$E$7+CharacterSheet!$M$13,IF(B101="Thrown",C101+CharacterSheet!$E$7+CharacterSheet!$M$21,"Error"))))</f>
        <v>5</v>
      </c>
      <c r="E101" s="193">
        <v>5</v>
      </c>
      <c r="F101" s="193">
        <f>IF(B101="marks",E101+CharacterSheet!$M$13,IF(B101="thrown",E101+CharacterSheet!$M$21,IF(B101="brawl",E101+CharacterSheet!$E$6+CharacterSheet!$E$16,IF(B101="melee",E101+CharacterSheet!$M$15+CharacterSheet!$E$6,"Error"))))</f>
        <v>6</v>
      </c>
      <c r="G101" s="193" t="s">
        <v>833</v>
      </c>
      <c r="H101" s="193">
        <v>4</v>
      </c>
      <c r="I101" s="193">
        <f>IF(H101="--","--",IF(B101="brawl",(H101+CharacterSheet!$E$16+CharacterSheet!$E$7)/2+CharacterSheet!$G$7,IF(B101="melee",(H101+CharacterSheet!$E$7+CharacterSheet!$M$15)/2+CharacterSheet!$G$7,"--")))</f>
        <v>2.5</v>
      </c>
      <c r="J101" s="193">
        <v>4</v>
      </c>
      <c r="K101" s="193" t="s">
        <v>831</v>
      </c>
      <c r="L101" s="208" t="s">
        <v>831</v>
      </c>
    </row>
    <row r="102" spans="1:12" x14ac:dyDescent="0.25">
      <c r="A102" s="192" t="s">
        <v>898</v>
      </c>
      <c r="B102" s="193" t="s">
        <v>48</v>
      </c>
      <c r="C102" s="193">
        <v>3</v>
      </c>
      <c r="D102" s="193">
        <f>IF(B102="Melee",C102+CharacterSheet!$E$7+CharacterSheet!$M$15,IF(B102="brawl",C102+CharacterSheet!$E$7+CharacterSheet!$E$16,IF(B102="Marks",C102+CharacterSheet!$E$7+CharacterSheet!$M$13,IF(B102="Thrown",C102+CharacterSheet!$E$7+CharacterSheet!$M$21,"Error"))))</f>
        <v>4</v>
      </c>
      <c r="E102" s="193">
        <v>7</v>
      </c>
      <c r="F102" s="193">
        <f>IF(B102="marks",E102+CharacterSheet!$M$13,IF(B102="thrown",E102+CharacterSheet!$M$21,IF(B102="brawl",E102+CharacterSheet!$E$6+CharacterSheet!$E$16,IF(B102="melee",E102+CharacterSheet!$M$15+CharacterSheet!$E$6,"Error"))))</f>
        <v>8</v>
      </c>
      <c r="G102" s="193" t="s">
        <v>117</v>
      </c>
      <c r="H102" s="193">
        <v>4</v>
      </c>
      <c r="I102" s="193">
        <f>IF(H102="--","--",IF(B102="brawl",(H102+CharacterSheet!$E$16+CharacterSheet!$E$7)/2+CharacterSheet!$G$7,IF(B102="melee",(H102+CharacterSheet!$E$7+CharacterSheet!$M$15)/2+CharacterSheet!$G$7,"--")))</f>
        <v>2.5</v>
      </c>
      <c r="J102" s="193">
        <v>4</v>
      </c>
      <c r="K102" s="193" t="s">
        <v>831</v>
      </c>
      <c r="L102" s="208" t="s">
        <v>831</v>
      </c>
    </row>
    <row r="103" spans="1:12" x14ac:dyDescent="0.25">
      <c r="A103" s="192" t="s">
        <v>891</v>
      </c>
      <c r="B103" s="193" t="s">
        <v>48</v>
      </c>
      <c r="C103" s="193">
        <v>2</v>
      </c>
      <c r="D103" s="193">
        <f>IF(B103="Melee",C103+CharacterSheet!$E$7+CharacterSheet!$M$15,IF(B103="brawl",C103+CharacterSheet!$E$7+CharacterSheet!$E$16,IF(B103="Marks",C103+CharacterSheet!$E$7+CharacterSheet!$M$13,IF(B103="Thrown",C103+CharacterSheet!$E$7+CharacterSheet!$M$21,"Error"))))</f>
        <v>3</v>
      </c>
      <c r="E103" s="193">
        <v>4</v>
      </c>
      <c r="F103" s="193">
        <f>IF(B103="marks",E103+CharacterSheet!$M$13,IF(B103="thrown",E103+CharacterSheet!$M$21,IF(B103="brawl",E103+CharacterSheet!$E$6+CharacterSheet!$E$16,IF(B103="melee",E103+CharacterSheet!$M$15+CharacterSheet!$E$6,"Error"))))</f>
        <v>5</v>
      </c>
      <c r="G103" s="193" t="s">
        <v>117</v>
      </c>
      <c r="H103" s="193">
        <v>3</v>
      </c>
      <c r="I103" s="193">
        <f>IF(H103="--","--",IF(B103="brawl",(H103+CharacterSheet!$E$16+CharacterSheet!$E$7)/2+CharacterSheet!$G$7,IF(B103="melee",(H103+CharacterSheet!$E$7+CharacterSheet!$M$15)/2+CharacterSheet!$G$7,"--")))</f>
        <v>2</v>
      </c>
      <c r="J103" s="193">
        <v>5</v>
      </c>
      <c r="K103" s="193" t="s">
        <v>831</v>
      </c>
      <c r="L103" s="208" t="s">
        <v>831</v>
      </c>
    </row>
    <row r="104" spans="1:12" x14ac:dyDescent="0.25">
      <c r="A104" s="192" t="s">
        <v>888</v>
      </c>
      <c r="B104" s="193" t="s">
        <v>48</v>
      </c>
      <c r="C104" s="193">
        <v>3</v>
      </c>
      <c r="D104" s="193">
        <f>IF(B104="Melee",C104+CharacterSheet!$E$7+CharacterSheet!$M$15,IF(B104="brawl",C104+CharacterSheet!$E$7+CharacterSheet!$E$16,IF(B104="Marks",C104+CharacterSheet!$E$7+CharacterSheet!$M$13,IF(B104="Thrown",C104+CharacterSheet!$E$7+CharacterSheet!$M$21,"Error"))))</f>
        <v>4</v>
      </c>
      <c r="E104" s="193">
        <v>5</v>
      </c>
      <c r="F104" s="193">
        <f>IF(B104="marks",E104+CharacterSheet!$M$13,IF(B104="thrown",E104+CharacterSheet!$M$21,IF(B104="brawl",E104+CharacterSheet!$E$6+CharacterSheet!$E$16,IF(B104="melee",E104+CharacterSheet!$M$15+CharacterSheet!$E$6,"Error"))))</f>
        <v>6</v>
      </c>
      <c r="G104" s="193" t="s">
        <v>117</v>
      </c>
      <c r="H104" s="193">
        <v>3</v>
      </c>
      <c r="I104" s="193">
        <f>IF(H104="--","--",IF(B104="brawl",(H104+CharacterSheet!$E$16+CharacterSheet!$E$7)/2+CharacterSheet!$G$7,IF(B104="melee",(H104+CharacterSheet!$E$7+CharacterSheet!$M$15)/2+CharacterSheet!$G$7,"--")))</f>
        <v>2</v>
      </c>
      <c r="J104" s="193">
        <v>4</v>
      </c>
      <c r="K104" s="193" t="s">
        <v>831</v>
      </c>
      <c r="L104" s="208" t="s">
        <v>831</v>
      </c>
    </row>
    <row r="105" spans="1:12" x14ac:dyDescent="0.25">
      <c r="A105" s="192" t="s">
        <v>809</v>
      </c>
      <c r="B105" s="193" t="s">
        <v>830</v>
      </c>
      <c r="C105" s="193">
        <v>0</v>
      </c>
      <c r="D105" s="193">
        <f>IF(B105="Melee",C105+CharacterSheet!$E$7+CharacterSheet!$M$15,IF(B105="brawl",C105+CharacterSheet!$E$7+CharacterSheet!$E$16,IF(B105="Marks",C105+CharacterSheet!$E$7+CharacterSheet!$M$13,IF(B105="Thrown",C105+CharacterSheet!$E$7+CharacterSheet!$M$21,"Error"))))</f>
        <v>1</v>
      </c>
      <c r="E105" s="193">
        <v>4</v>
      </c>
      <c r="F105" s="193">
        <f>IF(B105="marks",E105+CharacterSheet!$M$13,IF(B105="thrown",E105+CharacterSheet!$M$21,IF(B105="brawl",E105+CharacterSheet!$E$6+CharacterSheet!$E$16,IF(B105="melee",E105+CharacterSheet!$M$15+CharacterSheet!$E$6,"Error"))))</f>
        <v>4</v>
      </c>
      <c r="G105" s="193" t="s">
        <v>117</v>
      </c>
      <c r="H105" s="193" t="s">
        <v>831</v>
      </c>
      <c r="I105" s="193" t="str">
        <f>IF(H105="--","--",IF(B105="brawl",(H105+CharacterSheet!$E$16+CharacterSheet!$E$7)/2+CharacterSheet!$G$7,IF(B105="melee",(H105+CharacterSheet!$E$7+CharacterSheet!$M$15)/2+CharacterSheet!$G$7,"--")))</f>
        <v>--</v>
      </c>
      <c r="J105" s="193">
        <v>5</v>
      </c>
      <c r="K105" s="193">
        <v>30</v>
      </c>
      <c r="L105" s="208">
        <v>20</v>
      </c>
    </row>
    <row r="106" spans="1:12" x14ac:dyDescent="0.25">
      <c r="A106" s="192" t="s">
        <v>732</v>
      </c>
      <c r="B106" s="193" t="s">
        <v>48</v>
      </c>
      <c r="C106" s="193">
        <v>1</v>
      </c>
      <c r="D106" s="193">
        <f>IF(B106="Melee",C106+CharacterSheet!$E$7+CharacterSheet!$M$15,IF(B106="brawl",C106+CharacterSheet!$E$7+CharacterSheet!$E$16,IF(B106="Marks",C106+CharacterSheet!$E$7+CharacterSheet!$M$13,IF(B106="Thrown",C106+CharacterSheet!$E$7+CharacterSheet!$M$21,"Error"))))</f>
        <v>2</v>
      </c>
      <c r="E106" s="193">
        <v>1</v>
      </c>
      <c r="F106" s="193">
        <f>IF(B106="marks",E106+CharacterSheet!$M$13,IF(B106="thrown",E106+CharacterSheet!$M$21,IF(B106="brawl",E106+CharacterSheet!$E$6+CharacterSheet!$E$16,IF(B106="melee",E106+CharacterSheet!$M$15+CharacterSheet!$E$6,"Error"))))</f>
        <v>2</v>
      </c>
      <c r="G106" s="193" t="s">
        <v>116</v>
      </c>
      <c r="H106" s="193">
        <v>1</v>
      </c>
      <c r="I106" s="193">
        <f>IF(H106="--","--",IF(B106="brawl",(H106+CharacterSheet!$E$16+CharacterSheet!$E$7)/2+CharacterSheet!$G$7,IF(B106="melee",(H106+CharacterSheet!$E$7+CharacterSheet!$M$15)/2+CharacterSheet!$G$7,"--")))</f>
        <v>1</v>
      </c>
      <c r="J106" s="193">
        <v>4</v>
      </c>
      <c r="K106" s="193" t="s">
        <v>831</v>
      </c>
      <c r="L106" s="208" t="s">
        <v>831</v>
      </c>
    </row>
    <row r="107" spans="1:12" x14ac:dyDescent="0.25">
      <c r="A107" s="192" t="s">
        <v>733</v>
      </c>
      <c r="B107" s="193" t="s">
        <v>48</v>
      </c>
      <c r="C107" s="193">
        <v>0</v>
      </c>
      <c r="D107" s="193">
        <f>IF(B107="Melee",C107+CharacterSheet!$E$7+CharacterSheet!$M$15,IF(B107="brawl",C107+CharacterSheet!$E$7+CharacterSheet!$E$16,IF(B107="Marks",C107+CharacterSheet!$E$7+CharacterSheet!$M$13,IF(B107="Thrown",C107+CharacterSheet!$E$7+CharacterSheet!$M$21,"Error"))))</f>
        <v>1</v>
      </c>
      <c r="E107" s="193">
        <v>3</v>
      </c>
      <c r="F107" s="193">
        <f>IF(B107="marks",E107+CharacterSheet!$M$13,IF(B107="thrown",E107+CharacterSheet!$M$21,IF(B107="brawl",E107+CharacterSheet!$E$6+CharacterSheet!$E$16,IF(B107="melee",E107+CharacterSheet!$M$15+CharacterSheet!$E$6,"Error"))))</f>
        <v>4</v>
      </c>
      <c r="G107" s="193" t="s">
        <v>117</v>
      </c>
      <c r="H107" s="193">
        <v>2</v>
      </c>
      <c r="I107" s="193">
        <f>IF(H107="--","--",IF(B107="brawl",(H107+CharacterSheet!$E$16+CharacterSheet!$E$7)/2+CharacterSheet!$G$7,IF(B107="melee",(H107+CharacterSheet!$E$7+CharacterSheet!$M$15)/2+CharacterSheet!$G$7,"--")))</f>
        <v>1.5</v>
      </c>
      <c r="J107" s="193">
        <v>5</v>
      </c>
      <c r="K107" s="193" t="s">
        <v>831</v>
      </c>
      <c r="L107" s="208" t="s">
        <v>831</v>
      </c>
    </row>
    <row r="108" spans="1:12" x14ac:dyDescent="0.25">
      <c r="A108" s="192" t="s">
        <v>734</v>
      </c>
      <c r="B108" s="193" t="s">
        <v>39</v>
      </c>
      <c r="C108" s="193">
        <v>-1</v>
      </c>
      <c r="D108" s="193">
        <f>IF(B108="Melee",C108+CharacterSheet!$E$7+CharacterSheet!$M$15,IF(B108="brawl",C108+CharacterSheet!$E$7+CharacterSheet!$E$16,IF(B108="Marks",C108+CharacterSheet!$E$7+CharacterSheet!$M$13,IF(B108="Thrown",C108+CharacterSheet!$E$7+CharacterSheet!$M$21,"Error"))))</f>
        <v>0</v>
      </c>
      <c r="E108" s="193">
        <v>3</v>
      </c>
      <c r="F108" s="193">
        <f>IF(B108="marks",E108+CharacterSheet!$M$13,IF(B108="thrown",E108+CharacterSheet!$M$21,IF(B108="brawl",E108+CharacterSheet!$E$6+CharacterSheet!$E$16,IF(B108="melee",E108+CharacterSheet!$M$15+CharacterSheet!$E$6,"Error"))))</f>
        <v>4</v>
      </c>
      <c r="G108" s="193" t="str">
        <f>IF(CharacterSheet!L35="Yes","L","B")</f>
        <v>B</v>
      </c>
      <c r="H108" s="193">
        <v>-2</v>
      </c>
      <c r="I108" s="193">
        <f>IF(H108="--","--",IF(B108="brawl",(H108+CharacterSheet!$E$16+CharacterSheet!$E$7)/2+CharacterSheet!$G$7,IF(B108="melee",(H108+CharacterSheet!$E$7+CharacterSheet!$M$15)/2+CharacterSheet!$G$7,"--")))</f>
        <v>-0.5</v>
      </c>
      <c r="J108" s="193">
        <v>5</v>
      </c>
      <c r="K108" s="193" t="s">
        <v>831</v>
      </c>
      <c r="L108" s="208" t="s">
        <v>831</v>
      </c>
    </row>
    <row r="109" spans="1:12" x14ac:dyDescent="0.25">
      <c r="A109" s="192" t="s">
        <v>735</v>
      </c>
      <c r="B109" s="193" t="s">
        <v>39</v>
      </c>
      <c r="C109" s="193">
        <v>1</v>
      </c>
      <c r="D109" s="193">
        <f>IF(B109="Melee",C109+CharacterSheet!$E$7+CharacterSheet!$M$15,IF(B109="brawl",C109+CharacterSheet!$E$7+CharacterSheet!$E$16,IF(B109="Marks",C109+CharacterSheet!$E$7+CharacterSheet!$M$13,IF(B109="Thrown",C109+CharacterSheet!$E$7+CharacterSheet!$M$21,"Error"))))</f>
        <v>2</v>
      </c>
      <c r="E109" s="193">
        <v>0</v>
      </c>
      <c r="F109" s="193">
        <f>IF(B109="marks",E109+CharacterSheet!$M$13,IF(B109="thrown",E109+CharacterSheet!$M$21,IF(B109="brawl",E109+CharacterSheet!$E$6+CharacterSheet!$E$16,IF(B109="melee",E109+CharacterSheet!$M$15+CharacterSheet!$E$6,"Error"))))</f>
        <v>1</v>
      </c>
      <c r="G109" s="193" t="str">
        <f>IF(CharacterSheet!L35="Yes","L","B")</f>
        <v>B</v>
      </c>
      <c r="H109" s="193">
        <v>1</v>
      </c>
      <c r="I109" s="193">
        <f>IF(H109="--","--",IF(B109="brawl",(H109+CharacterSheet!$E$16+CharacterSheet!$E$7)/2+CharacterSheet!$G$7,IF(B109="melee",(H109+CharacterSheet!$E$7+CharacterSheet!$M$15)/2+CharacterSheet!$G$7,"--")))</f>
        <v>1</v>
      </c>
      <c r="J109" s="193">
        <v>4</v>
      </c>
      <c r="K109" s="193" t="s">
        <v>831</v>
      </c>
      <c r="L109" s="208" t="s">
        <v>831</v>
      </c>
    </row>
    <row r="110" spans="1:12" x14ac:dyDescent="0.25">
      <c r="A110" s="192" t="s">
        <v>737</v>
      </c>
      <c r="B110" s="193" t="s">
        <v>48</v>
      </c>
      <c r="C110" s="193">
        <v>1</v>
      </c>
      <c r="D110" s="193">
        <f>IF(B110="Melee",C110+CharacterSheet!$E$7+CharacterSheet!$M$15,IF(B110="brawl",C110+CharacterSheet!$E$7+CharacterSheet!$E$16,IF(B110="Marks",C110+CharacterSheet!$E$7+CharacterSheet!$M$13,IF(B110="Thrown",C110+CharacterSheet!$E$7+CharacterSheet!$M$21,"Error"))))</f>
        <v>2</v>
      </c>
      <c r="E110" s="193">
        <v>2</v>
      </c>
      <c r="F110" s="193">
        <f>IF(B110="marks",E110+CharacterSheet!$M$13,IF(B110="thrown",E110+CharacterSheet!$M$21,IF(B110="brawl",E110+CharacterSheet!$E$6+CharacterSheet!$E$16,IF(B110="melee",E110+CharacterSheet!$M$15+CharacterSheet!$E$6,"Error"))))</f>
        <v>3</v>
      </c>
      <c r="G110" s="193" t="s">
        <v>117</v>
      </c>
      <c r="H110" s="193">
        <v>1</v>
      </c>
      <c r="I110" s="193">
        <f>IF(H110="--","--",IF(B110="brawl",(H110+CharacterSheet!$E$16+CharacterSheet!$E$7)/2+CharacterSheet!$G$7,IF(B110="melee",(H110+CharacterSheet!$E$7+CharacterSheet!$M$15)/2+CharacterSheet!$G$7,"--")))</f>
        <v>1</v>
      </c>
      <c r="J110" s="193">
        <v>4</v>
      </c>
      <c r="K110" s="193" t="s">
        <v>831</v>
      </c>
      <c r="L110" s="208" t="s">
        <v>831</v>
      </c>
    </row>
    <row r="111" spans="1:12" x14ac:dyDescent="0.25">
      <c r="A111" s="192" t="s">
        <v>886</v>
      </c>
      <c r="B111" s="193" t="s">
        <v>830</v>
      </c>
      <c r="C111" s="193">
        <v>4</v>
      </c>
      <c r="D111" s="193">
        <f>IF(B111="Melee",C111+CharacterSheet!$E$7+CharacterSheet!$M$15,IF(B111="brawl",C111+CharacterSheet!$E$7+CharacterSheet!$E$16,IF(B111="Marks",C111+CharacterSheet!$E$7+CharacterSheet!$M$13,IF(B111="Thrown",C111+CharacterSheet!$E$7+CharacterSheet!$M$21,"Error"))))</f>
        <v>5</v>
      </c>
      <c r="E111" s="193">
        <v>5</v>
      </c>
      <c r="F111" s="193">
        <f>IF(B111="marks",E111+CharacterSheet!$M$13,IF(B111="thrown",E111+CharacterSheet!$M$21,IF(B111="brawl",E111+CharacterSheet!$E$6+CharacterSheet!$E$16,IF(B111="melee",E111+CharacterSheet!$M$15+CharacterSheet!$E$6,"Error"))))</f>
        <v>5</v>
      </c>
      <c r="G111" s="193" t="s">
        <v>117</v>
      </c>
      <c r="H111" s="193" t="s">
        <v>831</v>
      </c>
      <c r="I111" s="193" t="str">
        <f>IF(H111="--","--",IF(B111="brawl",(H111+CharacterSheet!$E$16+CharacterSheet!$E$7)/2+CharacterSheet!$G$7,IF(B111="melee",(H111+CharacterSheet!$E$7+CharacterSheet!$M$15)/2+CharacterSheet!$G$7,"--")))</f>
        <v>--</v>
      </c>
      <c r="J111" s="193">
        <v>4</v>
      </c>
      <c r="K111" s="29">
        <v>40</v>
      </c>
      <c r="L111" s="208" t="s">
        <v>831</v>
      </c>
    </row>
    <row r="112" spans="1:12" x14ac:dyDescent="0.25">
      <c r="A112" s="192" t="s">
        <v>779</v>
      </c>
      <c r="B112" s="193" t="s">
        <v>48</v>
      </c>
      <c r="C112" s="193">
        <v>1</v>
      </c>
      <c r="D112" s="193">
        <f>IF(B112="Melee",C112+CharacterSheet!$E$7+CharacterSheet!$M$15,IF(B112="brawl",C112+CharacterSheet!$E$7+CharacterSheet!$E$16,IF(B112="Marks",C112+CharacterSheet!$E$7+CharacterSheet!$M$13,IF(B112="Thrown",C112+CharacterSheet!$E$7+CharacterSheet!$M$21,"Error"))))</f>
        <v>2</v>
      </c>
      <c r="E112" s="193">
        <v>4</v>
      </c>
      <c r="F112" s="193">
        <f>IF(B112="marks",E112+CharacterSheet!$M$13,IF(B112="thrown",E112+CharacterSheet!$M$21,IF(B112="brawl",E112+CharacterSheet!$E$6+CharacterSheet!$E$16,IF(B112="melee",E112+CharacterSheet!$M$15+CharacterSheet!$E$6,"Error"))))</f>
        <v>5</v>
      </c>
      <c r="G112" s="193" t="s">
        <v>833</v>
      </c>
      <c r="H112" s="193">
        <v>1</v>
      </c>
      <c r="I112" s="193">
        <f>IF(H112="--","--",IF(B112="brawl",(H112+CharacterSheet!$E$16+CharacterSheet!$E$7)/2+CharacterSheet!$G$7,IF(B112="melee",(H112+CharacterSheet!$E$7+CharacterSheet!$M$15)/2+CharacterSheet!$G$7,"--")))</f>
        <v>1</v>
      </c>
      <c r="J112" s="193">
        <v>4</v>
      </c>
      <c r="K112" s="193" t="s">
        <v>831</v>
      </c>
      <c r="L112" s="208" t="s">
        <v>831</v>
      </c>
    </row>
    <row r="113" spans="1:12" x14ac:dyDescent="0.25">
      <c r="A113" s="192" t="s">
        <v>866</v>
      </c>
      <c r="B113" s="193" t="s">
        <v>830</v>
      </c>
      <c r="C113" s="193">
        <v>5</v>
      </c>
      <c r="D113" s="193">
        <f>IF(B113="Melee",C113+CharacterSheet!$E$7+CharacterSheet!$M$15,IF(B113="brawl",C113+CharacterSheet!$E$7+CharacterSheet!$E$16,IF(B113="Marks",C113+CharacterSheet!$E$7+CharacterSheet!$M$13,IF(B113="Thrown",C113+CharacterSheet!$E$7+CharacterSheet!$M$21,"Error"))))</f>
        <v>6</v>
      </c>
      <c r="E113" s="193">
        <v>4</v>
      </c>
      <c r="F113" s="193">
        <f>IF(B113="marks",E113+CharacterSheet!$M$13,IF(B113="thrown",E113+CharacterSheet!$M$21,IF(B113="brawl",E113+CharacterSheet!$E$6+CharacterSheet!$E$16,IF(B113="melee",E113+CharacterSheet!$M$15+CharacterSheet!$E$6,"Error"))))</f>
        <v>4</v>
      </c>
      <c r="G113" s="193" t="s">
        <v>117</v>
      </c>
      <c r="H113" s="193" t="s">
        <v>831</v>
      </c>
      <c r="I113" s="193" t="str">
        <f>IF(H113="--","--",IF(B113="brawl",(H113+CharacterSheet!$E$16+CharacterSheet!$E$7)/2+CharacterSheet!$G$7,IF(B113="melee",(H113+CharacterSheet!$E$7+CharacterSheet!$M$15)/2+CharacterSheet!$G$7,"--")))</f>
        <v>--</v>
      </c>
      <c r="J113" s="193">
        <v>5</v>
      </c>
      <c r="K113" s="193">
        <v>20</v>
      </c>
      <c r="L113" s="208">
        <v>8</v>
      </c>
    </row>
    <row r="114" spans="1:12" x14ac:dyDescent="0.25">
      <c r="A114" s="192" t="s">
        <v>867</v>
      </c>
      <c r="B114" s="193" t="s">
        <v>48</v>
      </c>
      <c r="C114" s="193">
        <v>2</v>
      </c>
      <c r="D114" s="193">
        <f>IF(B114="Melee",C114+CharacterSheet!$E$7+CharacterSheet!$M$15,IF(B114="brawl",C114+CharacterSheet!$E$7+CharacterSheet!$E$16,IF(B114="Marks",C114+CharacterSheet!$E$7+CharacterSheet!$M$13,IF(B114="Thrown",C114+CharacterSheet!$E$7+CharacterSheet!$M$21,"Error"))))</f>
        <v>3</v>
      </c>
      <c r="E114" s="193">
        <v>5</v>
      </c>
      <c r="F114" s="193">
        <f>IF(B114="marks",E114+CharacterSheet!$M$13,IF(B114="thrown",E114+CharacterSheet!$M$21,IF(B114="brawl",E114+CharacterSheet!$E$6+CharacterSheet!$E$16,IF(B114="melee",E114+CharacterSheet!$M$15+CharacterSheet!$E$6,"Error"))))</f>
        <v>6</v>
      </c>
      <c r="G114" s="193" t="s">
        <v>117</v>
      </c>
      <c r="H114" s="193">
        <v>2</v>
      </c>
      <c r="I114" s="193">
        <f>IF(H114="--","--",IF(B114="brawl",(H114+CharacterSheet!$E$16+CharacterSheet!$E$7)/2+CharacterSheet!$G$7,IF(B114="melee",(H114+CharacterSheet!$E$7+CharacterSheet!$M$15)/2+CharacterSheet!$G$7,"--")))</f>
        <v>1.5</v>
      </c>
      <c r="J114" s="193">
        <v>4</v>
      </c>
      <c r="K114" s="29" t="s">
        <v>831</v>
      </c>
      <c r="L114" s="35" t="s">
        <v>831</v>
      </c>
    </row>
    <row r="115" spans="1:12" x14ac:dyDescent="0.25">
      <c r="A115" s="192" t="s">
        <v>738</v>
      </c>
      <c r="B115" s="193" t="s">
        <v>48</v>
      </c>
      <c r="C115" s="193">
        <v>1</v>
      </c>
      <c r="D115" s="193">
        <f>IF(B115="Melee",C115+CharacterSheet!$E$7+CharacterSheet!$M$15,IF(B115="brawl",C115+CharacterSheet!$E$7+CharacterSheet!$E$16,IF(B115="Marks",C115+CharacterSheet!$E$7+CharacterSheet!$M$13,IF(B115="Thrown",C115+CharacterSheet!$E$7+CharacterSheet!$M$21,"Error"))))</f>
        <v>2</v>
      </c>
      <c r="E115" s="193">
        <v>3</v>
      </c>
      <c r="F115" s="193">
        <f>IF(B115="marks",E115+CharacterSheet!$M$13,IF(B115="thrown",E115+CharacterSheet!$M$21,IF(B115="brawl",E115+CharacterSheet!$E$6+CharacterSheet!$E$16,IF(B115="melee",E115+CharacterSheet!$M$15+CharacterSheet!$E$6,"Error"))))</f>
        <v>4</v>
      </c>
      <c r="G115" s="193" t="s">
        <v>117</v>
      </c>
      <c r="H115" s="193">
        <v>1</v>
      </c>
      <c r="I115" s="193">
        <f>IF(H115="--","--",IF(B115="brawl",(H115+CharacterSheet!$E$16+CharacterSheet!$E$7)/2+CharacterSheet!$G$7,IF(B115="melee",(H115+CharacterSheet!$E$7+CharacterSheet!$M$15)/2+CharacterSheet!$G$7,"--")))</f>
        <v>1</v>
      </c>
      <c r="J115" s="193">
        <v>4</v>
      </c>
      <c r="K115" s="193" t="s">
        <v>831</v>
      </c>
      <c r="L115" s="208" t="s">
        <v>831</v>
      </c>
    </row>
    <row r="116" spans="1:12" ht="15.75" thickBot="1" x14ac:dyDescent="0.3">
      <c r="A116" s="194" t="s">
        <v>745</v>
      </c>
      <c r="B116" s="195" t="s">
        <v>54</v>
      </c>
      <c r="C116" s="195">
        <v>1</v>
      </c>
      <c r="D116" s="195">
        <f>IF(B116="Melee",C116+CharacterSheet!$E$7+CharacterSheet!$M$15,IF(B116="brawl",C116+CharacterSheet!$E$7+CharacterSheet!$E$16,IF(B116="Marks",C116+CharacterSheet!$E$7+CharacterSheet!$M$13,IF(B116="Thrown",C116+CharacterSheet!$E$7+CharacterSheet!$M$21,"Error"))))</f>
        <v>2</v>
      </c>
      <c r="E116" s="195">
        <v>2</v>
      </c>
      <c r="F116" s="195">
        <f>IF(B116="marks",E116+CharacterSheet!$M$13,IF(B116="thrown",E116+CharacterSheet!$M$21,IF(B116="brawl",E116+CharacterSheet!$E$6+CharacterSheet!$E$16,IF(B116="melee",E116+CharacterSheet!$M$15+CharacterSheet!$E$6,"Error"))))</f>
        <v>2</v>
      </c>
      <c r="G116" s="195" t="s">
        <v>117</v>
      </c>
      <c r="H116" s="195" t="s">
        <v>831</v>
      </c>
      <c r="I116" s="195" t="str">
        <f>IF(H116="--","--",IF(B116="brawl",(H116+CharacterSheet!$E$16+CharacterSheet!$E$7)/2+CharacterSheet!$G$7,IF(B116="melee",(H116+CharacterSheet!$E$7+CharacterSheet!$M$15)/2+CharacterSheet!$G$7,"--")))</f>
        <v>--</v>
      </c>
      <c r="J116" s="195">
        <v>6</v>
      </c>
      <c r="K116" s="195">
        <f>IF(CharacterSheet!$R$33="Yes",15*LOOKUP(CharacterSheet!$F$6,Reference!$H$2:$H$12,Reference!$J$2:$J$12)*2,15*LOOKUP(CharacterSheet!$F$6,Reference!$H$2:$H$12,Reference!$J$2:$J$12))</f>
        <v>15</v>
      </c>
      <c r="L116" s="205" t="s">
        <v>831</v>
      </c>
    </row>
    <row r="117" spans="1:12" x14ac:dyDescent="0.25">
      <c r="A117" s="217" t="s">
        <v>841</v>
      </c>
    </row>
    <row r="118" spans="1:12" x14ac:dyDescent="0.25">
      <c r="A118" s="36" t="s">
        <v>842</v>
      </c>
    </row>
    <row r="119" spans="1:12" x14ac:dyDescent="0.25">
      <c r="A119" s="36" t="s">
        <v>843</v>
      </c>
    </row>
    <row r="120" spans="1:12" x14ac:dyDescent="0.25">
      <c r="A120" s="36" t="s">
        <v>844</v>
      </c>
    </row>
    <row r="121" spans="1:12" x14ac:dyDescent="0.25">
      <c r="A121" s="36" t="s">
        <v>845</v>
      </c>
    </row>
    <row r="122" spans="1:12" x14ac:dyDescent="0.25">
      <c r="A122" s="36" t="s">
        <v>846</v>
      </c>
    </row>
    <row r="123" spans="1:12" x14ac:dyDescent="0.25">
      <c r="A123" s="36" t="s">
        <v>847</v>
      </c>
    </row>
    <row r="124" spans="1:12" x14ac:dyDescent="0.25">
      <c r="A124" s="36" t="s">
        <v>848</v>
      </c>
    </row>
    <row r="125" spans="1:12" x14ac:dyDescent="0.25">
      <c r="A125" s="36" t="s">
        <v>849</v>
      </c>
    </row>
    <row r="126" spans="1:12" ht="15.75" thickBot="1" x14ac:dyDescent="0.3">
      <c r="A126" s="37" t="s">
        <v>850</v>
      </c>
    </row>
  </sheetData>
  <sheetProtection sheet="1" objects="1" scenarios="1" selectLockedCells="1" selectUnlockedCells="1"/>
  <sortState ref="U12:U30">
    <sortCondition ref="U12:U30"/>
  </sortState>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sheetPr>
  <dimension ref="A1:BZ130"/>
  <sheetViews>
    <sheetView topLeftCell="CA1" zoomScaleNormal="100" workbookViewId="0">
      <selection activeCell="J1" sqref="A1:J1048576"/>
    </sheetView>
  </sheetViews>
  <sheetFormatPr defaultRowHeight="15" x14ac:dyDescent="0.25"/>
  <cols>
    <col min="1" max="1" width="18.28515625" style="2" hidden="1" customWidth="1"/>
    <col min="2" max="2" width="8.5703125" style="2" hidden="1" customWidth="1"/>
    <col min="3" max="3" width="9.28515625" style="2" hidden="1" customWidth="1"/>
    <col min="4" max="4" width="8.140625" style="2" hidden="1" customWidth="1"/>
    <col min="5" max="5" width="9.140625" style="2" hidden="1" customWidth="1"/>
    <col min="6" max="6" width="13.140625" style="2" hidden="1" customWidth="1"/>
    <col min="7" max="7" width="11.5703125" style="2" hidden="1" customWidth="1"/>
    <col min="8" max="8" width="10.7109375" style="2" hidden="1" customWidth="1"/>
    <col min="9" max="9" width="11.5703125" style="2" hidden="1" customWidth="1"/>
    <col min="10" max="10" width="5.140625" style="2" hidden="1" customWidth="1"/>
    <col min="11" max="11" width="18.28515625" style="2" hidden="1" customWidth="1"/>
    <col min="12" max="12" width="11.140625" style="49" hidden="1" customWidth="1"/>
    <col min="13" max="13" width="12.5703125" style="49" hidden="1" customWidth="1"/>
    <col min="14" max="16" width="14" style="49" hidden="1" customWidth="1"/>
    <col min="17" max="17" width="9.140625" style="49" hidden="1" customWidth="1"/>
    <col min="18" max="18" width="10.42578125" style="49" hidden="1" customWidth="1"/>
    <col min="19" max="19" width="11.140625" style="49" hidden="1" customWidth="1"/>
    <col min="20" max="20" width="4" style="49" hidden="1" customWidth="1"/>
    <col min="21" max="21" width="8.85546875" style="49" hidden="1" customWidth="1"/>
    <col min="22" max="22" width="10.7109375" style="49" hidden="1" customWidth="1"/>
    <col min="23" max="23" width="6" style="49" hidden="1" customWidth="1"/>
    <col min="24" max="24" width="10" style="49" hidden="1" customWidth="1"/>
    <col min="25" max="25" width="7.5703125" style="49" hidden="1" customWidth="1"/>
    <col min="26" max="26" width="5.28515625" style="49" hidden="1" customWidth="1"/>
    <col min="27" max="27" width="8.7109375" style="49" hidden="1" customWidth="1"/>
    <col min="28" max="28" width="9.28515625" style="49" hidden="1" customWidth="1"/>
    <col min="29" max="29" width="8.5703125" style="49" hidden="1" customWidth="1"/>
    <col min="30" max="30" width="12.5703125" style="49" hidden="1" customWidth="1"/>
    <col min="31" max="31" width="7.7109375" style="49" hidden="1" customWidth="1"/>
    <col min="32" max="32" width="14" style="49" hidden="1" customWidth="1"/>
    <col min="33" max="33" width="9.28515625" style="49" hidden="1" customWidth="1"/>
    <col min="34" max="34" width="6.7109375" style="49" hidden="1" customWidth="1"/>
    <col min="35" max="35" width="6.5703125" style="49" hidden="1" customWidth="1"/>
    <col min="36" max="36" width="7.42578125" style="49" hidden="1" customWidth="1"/>
    <col min="37" max="37" width="9.140625" style="49" hidden="1" customWidth="1"/>
    <col min="38" max="38" width="7.7109375" style="49" hidden="1" customWidth="1"/>
    <col min="39" max="39" width="7.28515625" style="49" hidden="1" customWidth="1"/>
    <col min="40" max="40" width="8" style="49" hidden="1" customWidth="1"/>
    <col min="41" max="41" width="7.7109375" style="49" hidden="1" customWidth="1"/>
    <col min="42" max="43" width="18.28515625" style="2" hidden="1" customWidth="1"/>
    <col min="44" max="44" width="7.42578125" style="50" hidden="1" customWidth="1"/>
    <col min="45" max="45" width="6" style="50" hidden="1" customWidth="1"/>
    <col min="46" max="46" width="5.5703125" style="50" hidden="1" customWidth="1"/>
    <col min="47" max="47" width="6.7109375" style="50" hidden="1" customWidth="1"/>
    <col min="48" max="49" width="7.28515625" style="50" hidden="1" customWidth="1"/>
    <col min="50" max="50" width="9.5703125" style="50" hidden="1" customWidth="1"/>
    <col min="51" max="51" width="6.5703125" style="50" hidden="1" customWidth="1"/>
    <col min="52" max="52" width="5.85546875" style="50" hidden="1" customWidth="1"/>
    <col min="53" max="53" width="6.5703125" style="50" hidden="1" customWidth="1"/>
    <col min="54" max="54" width="8" style="50" hidden="1" customWidth="1"/>
    <col min="55" max="55" width="4.42578125" style="50" hidden="1" customWidth="1"/>
    <col min="56" max="56" width="5.5703125" style="50" hidden="1" customWidth="1"/>
    <col min="57" max="57" width="9.42578125" style="50" hidden="1" customWidth="1"/>
    <col min="58" max="58" width="7.140625" style="50" hidden="1" customWidth="1"/>
    <col min="59" max="59" width="5.7109375" style="50" hidden="1" customWidth="1"/>
    <col min="60" max="60" width="7.7109375" style="50" hidden="1" customWidth="1"/>
    <col min="61" max="61" width="8.42578125" style="50" hidden="1" customWidth="1"/>
    <col min="62" max="62" width="5" style="50" hidden="1" customWidth="1"/>
    <col min="63" max="63" width="9.42578125" style="50" hidden="1" customWidth="1"/>
    <col min="64" max="64" width="7.28515625" style="50" hidden="1" customWidth="1"/>
    <col min="65" max="65" width="6.7109375" style="50" hidden="1" customWidth="1"/>
    <col min="66" max="66" width="6.28515625" style="50" hidden="1" customWidth="1"/>
    <col min="67" max="67" width="8.42578125" style="50" hidden="1" customWidth="1"/>
    <col min="68" max="68" width="9.42578125" style="50" hidden="1" customWidth="1"/>
    <col min="69" max="69" width="12.5703125" style="50" hidden="1" customWidth="1"/>
    <col min="70" max="71" width="8.85546875" style="50" hidden="1" customWidth="1"/>
    <col min="72" max="72" width="4" style="50" hidden="1" customWidth="1"/>
    <col min="73" max="73" width="5.5703125" style="50" hidden="1" customWidth="1"/>
    <col min="74" max="74" width="4.28515625" style="50" hidden="1" customWidth="1"/>
    <col min="75" max="75" width="5.42578125" style="50" hidden="1" customWidth="1"/>
    <col min="76" max="76" width="14.28515625" style="50" hidden="1" customWidth="1"/>
    <col min="77" max="77" width="4.85546875" style="50" hidden="1" customWidth="1"/>
    <col min="78" max="78" width="6.7109375" style="50" hidden="1" customWidth="1"/>
    <col min="79" max="16384" width="9.140625" style="28"/>
  </cols>
  <sheetData>
    <row r="1" spans="1:78" s="48" customFormat="1" ht="15.75" x14ac:dyDescent="0.25">
      <c r="A1" s="143" t="s">
        <v>5</v>
      </c>
      <c r="B1" s="144" t="s">
        <v>30</v>
      </c>
      <c r="C1" s="144" t="s">
        <v>13</v>
      </c>
      <c r="D1" s="144" t="s">
        <v>14</v>
      </c>
      <c r="E1" s="144" t="s">
        <v>16</v>
      </c>
      <c r="F1" s="144" t="s">
        <v>17</v>
      </c>
      <c r="G1" s="144" t="s">
        <v>18</v>
      </c>
      <c r="H1" s="144" t="s">
        <v>19</v>
      </c>
      <c r="I1" s="144" t="s">
        <v>20</v>
      </c>
      <c r="J1" s="148" t="s">
        <v>21</v>
      </c>
      <c r="K1" s="143" t="s">
        <v>5</v>
      </c>
      <c r="L1" s="144"/>
      <c r="M1" s="144"/>
      <c r="N1" s="144"/>
      <c r="O1" s="144"/>
      <c r="P1" s="144"/>
      <c r="Q1" s="144"/>
      <c r="R1" s="144" t="s">
        <v>35</v>
      </c>
      <c r="S1" s="144" t="s">
        <v>36</v>
      </c>
      <c r="T1" s="156" t="s">
        <v>55</v>
      </c>
      <c r="U1" s="144" t="s">
        <v>37</v>
      </c>
      <c r="V1" s="144" t="s">
        <v>38</v>
      </c>
      <c r="W1" s="144" t="s">
        <v>39</v>
      </c>
      <c r="X1" s="144" t="s">
        <v>40</v>
      </c>
      <c r="Y1" s="156" t="s">
        <v>56</v>
      </c>
      <c r="Z1" s="156" t="s">
        <v>57</v>
      </c>
      <c r="AA1" s="144" t="s">
        <v>41</v>
      </c>
      <c r="AB1" s="144" t="s">
        <v>42</v>
      </c>
      <c r="AC1" s="144" t="s">
        <v>43</v>
      </c>
      <c r="AD1" s="144" t="s">
        <v>44</v>
      </c>
      <c r="AE1" s="144" t="s">
        <v>45</v>
      </c>
      <c r="AF1" s="144" t="s">
        <v>46</v>
      </c>
      <c r="AG1" s="144" t="s">
        <v>47</v>
      </c>
      <c r="AH1" s="144" t="s">
        <v>48</v>
      </c>
      <c r="AI1" s="144" t="s">
        <v>49</v>
      </c>
      <c r="AJ1" s="144" t="s">
        <v>50</v>
      </c>
      <c r="AK1" s="144" t="s">
        <v>51</v>
      </c>
      <c r="AL1" s="156" t="s">
        <v>58</v>
      </c>
      <c r="AM1" s="144" t="s">
        <v>52</v>
      </c>
      <c r="AN1" s="144" t="s">
        <v>53</v>
      </c>
      <c r="AO1" s="148" t="s">
        <v>54</v>
      </c>
      <c r="AP1" s="143" t="s">
        <v>5</v>
      </c>
      <c r="AQ1" s="144">
        <v>1</v>
      </c>
      <c r="AR1" s="60" t="s">
        <v>366</v>
      </c>
      <c r="AS1" s="60" t="s">
        <v>87</v>
      </c>
      <c r="AT1" s="60" t="s">
        <v>192</v>
      </c>
      <c r="AU1" s="60" t="s">
        <v>367</v>
      </c>
      <c r="AV1" s="60" t="s">
        <v>185</v>
      </c>
      <c r="AW1" s="60" t="s">
        <v>196</v>
      </c>
      <c r="AX1" s="60" t="s">
        <v>368</v>
      </c>
      <c r="AY1" s="60" t="s">
        <v>369</v>
      </c>
      <c r="AZ1" s="60" t="s">
        <v>370</v>
      </c>
      <c r="BA1" s="60" t="s">
        <v>190</v>
      </c>
      <c r="BB1" s="60" t="s">
        <v>371</v>
      </c>
      <c r="BC1" s="60" t="s">
        <v>372</v>
      </c>
      <c r="BD1" s="60" t="s">
        <v>704</v>
      </c>
      <c r="BE1" s="60" t="s">
        <v>373</v>
      </c>
      <c r="BF1" s="60" t="s">
        <v>115</v>
      </c>
      <c r="BG1" s="60" t="s">
        <v>188</v>
      </c>
      <c r="BH1" s="60" t="s">
        <v>703</v>
      </c>
      <c r="BI1" s="60" t="s">
        <v>194</v>
      </c>
      <c r="BJ1" s="60" t="s">
        <v>174</v>
      </c>
      <c r="BK1" s="60" t="s">
        <v>163</v>
      </c>
      <c r="BL1" s="60" t="s">
        <v>374</v>
      </c>
      <c r="BM1" s="60" t="s">
        <v>385</v>
      </c>
      <c r="BN1" s="60" t="s">
        <v>375</v>
      </c>
      <c r="BO1" s="60" t="s">
        <v>383</v>
      </c>
      <c r="BP1" s="60" t="s">
        <v>384</v>
      </c>
      <c r="BQ1" s="60" t="s">
        <v>376</v>
      </c>
      <c r="BR1" s="60" t="s">
        <v>180</v>
      </c>
      <c r="BS1" s="60" t="s">
        <v>1366</v>
      </c>
      <c r="BT1" s="60" t="s">
        <v>377</v>
      </c>
      <c r="BU1" s="60" t="s">
        <v>378</v>
      </c>
      <c r="BV1" s="60" t="s">
        <v>379</v>
      </c>
      <c r="BW1" s="60" t="s">
        <v>177</v>
      </c>
      <c r="BX1" s="60" t="s">
        <v>705</v>
      </c>
      <c r="BY1" s="60" t="s">
        <v>380</v>
      </c>
      <c r="BZ1" s="61" t="s">
        <v>381</v>
      </c>
    </row>
    <row r="2" spans="1:78" s="2" customFormat="1" x14ac:dyDescent="0.25">
      <c r="A2" s="181" t="s">
        <v>295</v>
      </c>
      <c r="B2" s="146" t="s">
        <v>361</v>
      </c>
      <c r="C2" s="146" t="s">
        <v>361</v>
      </c>
      <c r="D2" s="146" t="s">
        <v>361</v>
      </c>
      <c r="E2" s="146" t="s">
        <v>360</v>
      </c>
      <c r="F2" s="146" t="s">
        <v>360</v>
      </c>
      <c r="G2" s="146" t="s">
        <v>360</v>
      </c>
      <c r="H2" s="146" t="s">
        <v>361</v>
      </c>
      <c r="I2" s="146" t="s">
        <v>361</v>
      </c>
      <c r="J2" s="149" t="s">
        <v>361</v>
      </c>
      <c r="K2" s="181" t="s">
        <v>295</v>
      </c>
      <c r="L2" s="146" t="str">
        <f>LOOKUP($K2,PantheonList!$A$18:$A$139,PantheonList!$B$18:$B$139)</f>
        <v>Animal Ken</v>
      </c>
      <c r="M2" s="146" t="str">
        <f>LOOKUP($K2,PantheonList!$A$18:$A$139,PantheonList!$C$18:$C$139)</f>
        <v>Art</v>
      </c>
      <c r="N2" s="146" t="str">
        <f>LOOKUP($K2,PantheonList!$A$18:$A$139,PantheonList!$D$18:$D$139)</f>
        <v>Empathy</v>
      </c>
      <c r="O2" s="146" t="str">
        <f>LOOKUP($K2,PantheonList!$A$18:$A$139,PantheonList!$E$18:$E$139)</f>
        <v>Medicine</v>
      </c>
      <c r="P2" s="146" t="str">
        <f>LOOKUP($K2,PantheonList!$A$18:$A$139,PantheonList!$F$18:$F$139)</f>
        <v>Occult</v>
      </c>
      <c r="Q2" s="146" t="str">
        <f>LOOKUP($K2,PantheonList!$A$18:$A$139,PantheonList!$G$18:$G$139)</f>
        <v>Presence</v>
      </c>
      <c r="R2" s="146" t="str">
        <f t="shared" ref="R2:AA11" si="0">IF(OR($Q2=R$1,$P2=R$1,$O2=R$1,$N2=R$1,$M2=R$1,$L2=R$1),"Yes","No")</f>
        <v>No</v>
      </c>
      <c r="S2" s="146" t="str">
        <f t="shared" si="0"/>
        <v>Yes</v>
      </c>
      <c r="T2" s="146" t="str">
        <f t="shared" si="0"/>
        <v>Yes</v>
      </c>
      <c r="U2" s="146" t="str">
        <f t="shared" si="0"/>
        <v>No</v>
      </c>
      <c r="V2" s="146" t="str">
        <f t="shared" si="0"/>
        <v>No</v>
      </c>
      <c r="W2" s="146" t="str">
        <f t="shared" si="0"/>
        <v>No</v>
      </c>
      <c r="X2" s="146" t="str">
        <f t="shared" si="0"/>
        <v>No</v>
      </c>
      <c r="Y2" s="146" t="str">
        <f t="shared" si="0"/>
        <v>No</v>
      </c>
      <c r="Z2" s="146" t="str">
        <f t="shared" si="0"/>
        <v>No</v>
      </c>
      <c r="AA2" s="146" t="str">
        <f t="shared" si="0"/>
        <v>Yes</v>
      </c>
      <c r="AB2" s="146" t="str">
        <f t="shared" ref="AB2:AO11" si="1">IF(OR($Q2=AB$1,$P2=AB$1,$O2=AB$1,$N2=AB$1,$M2=AB$1,$L2=AB$1),"Yes","No")</f>
        <v>No</v>
      </c>
      <c r="AC2" s="146" t="str">
        <f t="shared" si="1"/>
        <v>No</v>
      </c>
      <c r="AD2" s="146" t="str">
        <f t="shared" si="1"/>
        <v>No</v>
      </c>
      <c r="AE2" s="146" t="str">
        <f t="shared" si="1"/>
        <v>No</v>
      </c>
      <c r="AF2" s="146" t="str">
        <f t="shared" si="1"/>
        <v>No</v>
      </c>
      <c r="AG2" s="146" t="str">
        <f t="shared" si="1"/>
        <v>Yes</v>
      </c>
      <c r="AH2" s="146" t="str">
        <f t="shared" si="1"/>
        <v>No</v>
      </c>
      <c r="AI2" s="146" t="str">
        <f t="shared" si="1"/>
        <v>Yes</v>
      </c>
      <c r="AJ2" s="146" t="str">
        <f t="shared" si="1"/>
        <v>No</v>
      </c>
      <c r="AK2" s="146" t="str">
        <f t="shared" si="1"/>
        <v>Yes</v>
      </c>
      <c r="AL2" s="146" t="str">
        <f t="shared" si="1"/>
        <v>No</v>
      </c>
      <c r="AM2" s="146" t="str">
        <f t="shared" si="1"/>
        <v>No</v>
      </c>
      <c r="AN2" s="146" t="str">
        <f t="shared" si="1"/>
        <v>No</v>
      </c>
      <c r="AO2" s="149" t="str">
        <f t="shared" si="1"/>
        <v>No</v>
      </c>
      <c r="AP2" s="181" t="s">
        <v>295</v>
      </c>
      <c r="AQ2" s="146">
        <v>2</v>
      </c>
      <c r="AR2" s="146" t="s">
        <v>360</v>
      </c>
      <c r="AS2" s="146" t="s">
        <v>361</v>
      </c>
      <c r="AT2" s="146" t="s">
        <v>361</v>
      </c>
      <c r="AU2" s="146" t="s">
        <v>361</v>
      </c>
      <c r="AV2" s="146" t="s">
        <v>361</v>
      </c>
      <c r="AW2" s="146" t="s">
        <v>361</v>
      </c>
      <c r="AX2" s="146" t="s">
        <v>361</v>
      </c>
      <c r="AY2" s="146" t="s">
        <v>361</v>
      </c>
      <c r="AZ2" s="146" t="s">
        <v>361</v>
      </c>
      <c r="BA2" s="146" t="s">
        <v>360</v>
      </c>
      <c r="BB2" s="146" t="s">
        <v>361</v>
      </c>
      <c r="BC2" s="146" t="s">
        <v>361</v>
      </c>
      <c r="BD2" s="146" t="s">
        <v>361</v>
      </c>
      <c r="BE2" s="146" t="s">
        <v>361</v>
      </c>
      <c r="BF2" s="146" t="s">
        <v>360</v>
      </c>
      <c r="BG2" s="146" t="s">
        <v>361</v>
      </c>
      <c r="BH2" s="146" t="s">
        <v>361</v>
      </c>
      <c r="BI2" s="146" t="s">
        <v>361</v>
      </c>
      <c r="BJ2" s="146" t="s">
        <v>361</v>
      </c>
      <c r="BK2" s="146" t="s">
        <v>361</v>
      </c>
      <c r="BL2" s="146" t="s">
        <v>361</v>
      </c>
      <c r="BM2" s="146" t="s">
        <v>361</v>
      </c>
      <c r="BN2" s="146" t="s">
        <v>361</v>
      </c>
      <c r="BO2" s="146" t="s">
        <v>361</v>
      </c>
      <c r="BP2" s="146" t="s">
        <v>361</v>
      </c>
      <c r="BQ2" s="146" t="s">
        <v>361</v>
      </c>
      <c r="BR2" s="146" t="s">
        <v>361</v>
      </c>
      <c r="BS2" s="146" t="s">
        <v>361</v>
      </c>
      <c r="BT2" s="146" t="s">
        <v>361</v>
      </c>
      <c r="BU2" s="146" t="s">
        <v>361</v>
      </c>
      <c r="BV2" s="146" t="s">
        <v>361</v>
      </c>
      <c r="BW2" s="146" t="s">
        <v>361</v>
      </c>
      <c r="BX2" s="146" t="s">
        <v>361</v>
      </c>
      <c r="BY2" s="146" t="s">
        <v>361</v>
      </c>
      <c r="BZ2" s="149" t="s">
        <v>361</v>
      </c>
    </row>
    <row r="3" spans="1:78" s="2" customFormat="1" x14ac:dyDescent="0.25">
      <c r="A3" s="181" t="s">
        <v>249</v>
      </c>
      <c r="B3" s="146" t="s">
        <v>361</v>
      </c>
      <c r="C3" s="146" t="s">
        <v>360</v>
      </c>
      <c r="D3" s="146" t="s">
        <v>361</v>
      </c>
      <c r="E3" s="146" t="s">
        <v>361</v>
      </c>
      <c r="F3" s="146" t="s">
        <v>360</v>
      </c>
      <c r="G3" s="146" t="s">
        <v>361</v>
      </c>
      <c r="H3" s="146" t="s">
        <v>361</v>
      </c>
      <c r="I3" s="146" t="s">
        <v>361</v>
      </c>
      <c r="J3" s="149" t="s">
        <v>360</v>
      </c>
      <c r="K3" s="181" t="s">
        <v>249</v>
      </c>
      <c r="L3" s="146" t="str">
        <f>LOOKUP($K3,PantheonList!$A$18:$A$139,PantheonList!$B$18:$B$139)</f>
        <v>Awareness</v>
      </c>
      <c r="M3" s="146" t="str">
        <f>LOOKUP($K3,PantheonList!$A$18:$A$139,PantheonList!$C$18:$C$139)</f>
        <v>Command</v>
      </c>
      <c r="N3" s="146" t="str">
        <f>LOOKUP($K3,PantheonList!$A$18:$A$139,PantheonList!$D$18:$D$139)</f>
        <v>Control</v>
      </c>
      <c r="O3" s="146" t="str">
        <f>LOOKUP($K3,PantheonList!$A$18:$A$139,PantheonList!$E$18:$E$139)</f>
        <v>Empathy</v>
      </c>
      <c r="P3" s="146" t="str">
        <f>LOOKUP($K3,PantheonList!$A$18:$A$139,PantheonList!$F$18:$F$139)</f>
        <v>Presence</v>
      </c>
      <c r="Q3" s="146" t="str">
        <f>LOOKUP($K3,PantheonList!$A$18:$A$139,PantheonList!$G$18:$G$139)</f>
        <v>Stealth</v>
      </c>
      <c r="R3" s="146" t="str">
        <f t="shared" si="0"/>
        <v>No</v>
      </c>
      <c r="S3" s="146" t="str">
        <f t="shared" si="0"/>
        <v>No</v>
      </c>
      <c r="T3" s="146" t="str">
        <f t="shared" si="0"/>
        <v>No</v>
      </c>
      <c r="U3" s="146" t="str">
        <f t="shared" si="0"/>
        <v>No</v>
      </c>
      <c r="V3" s="146" t="str">
        <f t="shared" si="0"/>
        <v>Yes</v>
      </c>
      <c r="W3" s="146" t="str">
        <f t="shared" si="0"/>
        <v>No</v>
      </c>
      <c r="X3" s="146" t="str">
        <f t="shared" si="0"/>
        <v>Yes</v>
      </c>
      <c r="Y3" s="146" t="str">
        <f t="shared" si="0"/>
        <v>Yes</v>
      </c>
      <c r="Z3" s="146" t="str">
        <f t="shared" si="0"/>
        <v>No</v>
      </c>
      <c r="AA3" s="146" t="str">
        <f t="shared" si="0"/>
        <v>Yes</v>
      </c>
      <c r="AB3" s="146" t="str">
        <f t="shared" si="1"/>
        <v>No</v>
      </c>
      <c r="AC3" s="146" t="str">
        <f t="shared" si="1"/>
        <v>No</v>
      </c>
      <c r="AD3" s="146" t="str">
        <f t="shared" si="1"/>
        <v>No</v>
      </c>
      <c r="AE3" s="146" t="str">
        <f t="shared" si="1"/>
        <v>No</v>
      </c>
      <c r="AF3" s="146" t="str">
        <f t="shared" si="1"/>
        <v>No</v>
      </c>
      <c r="AG3" s="146" t="str">
        <f t="shared" si="1"/>
        <v>No</v>
      </c>
      <c r="AH3" s="146" t="str">
        <f t="shared" si="1"/>
        <v>No</v>
      </c>
      <c r="AI3" s="146" t="str">
        <f t="shared" si="1"/>
        <v>No</v>
      </c>
      <c r="AJ3" s="146" t="str">
        <f t="shared" si="1"/>
        <v>No</v>
      </c>
      <c r="AK3" s="146" t="str">
        <f t="shared" si="1"/>
        <v>Yes</v>
      </c>
      <c r="AL3" s="146" t="str">
        <f t="shared" si="1"/>
        <v>No</v>
      </c>
      <c r="AM3" s="146" t="str">
        <f t="shared" si="1"/>
        <v>Yes</v>
      </c>
      <c r="AN3" s="146" t="str">
        <f t="shared" si="1"/>
        <v>No</v>
      </c>
      <c r="AO3" s="149" t="str">
        <f t="shared" si="1"/>
        <v>No</v>
      </c>
      <c r="AP3" s="181" t="s">
        <v>249</v>
      </c>
      <c r="AQ3" s="146">
        <v>3</v>
      </c>
      <c r="AR3" s="146" t="s">
        <v>361</v>
      </c>
      <c r="AS3" s="146" t="s">
        <v>361</v>
      </c>
      <c r="AT3" s="146" t="s">
        <v>361</v>
      </c>
      <c r="AU3" s="146" t="s">
        <v>361</v>
      </c>
      <c r="AV3" s="146" t="s">
        <v>361</v>
      </c>
      <c r="AW3" s="146" t="s">
        <v>361</v>
      </c>
      <c r="AX3" s="146" t="s">
        <v>361</v>
      </c>
      <c r="AY3" s="146" t="s">
        <v>361</v>
      </c>
      <c r="AZ3" s="146" t="s">
        <v>361</v>
      </c>
      <c r="BA3" s="146" t="s">
        <v>361</v>
      </c>
      <c r="BB3" s="146" t="s">
        <v>361</v>
      </c>
      <c r="BC3" s="146" t="s">
        <v>360</v>
      </c>
      <c r="BD3" s="146" t="s">
        <v>361</v>
      </c>
      <c r="BE3" s="146" t="s">
        <v>361</v>
      </c>
      <c r="BF3" s="146" t="s">
        <v>361</v>
      </c>
      <c r="BG3" s="146" t="s">
        <v>361</v>
      </c>
      <c r="BH3" s="146" t="s">
        <v>361</v>
      </c>
      <c r="BI3" s="146" t="s">
        <v>361</v>
      </c>
      <c r="BJ3" s="146" t="s">
        <v>361</v>
      </c>
      <c r="BK3" s="146" t="s">
        <v>361</v>
      </c>
      <c r="BL3" s="146" t="s">
        <v>361</v>
      </c>
      <c r="BM3" s="146" t="s">
        <v>361</v>
      </c>
      <c r="BN3" s="146" t="s">
        <v>361</v>
      </c>
      <c r="BO3" s="146" t="s">
        <v>361</v>
      </c>
      <c r="BP3" s="146" t="s">
        <v>361</v>
      </c>
      <c r="BQ3" s="146" t="s">
        <v>360</v>
      </c>
      <c r="BR3" s="146" t="s">
        <v>360</v>
      </c>
      <c r="BS3" s="146" t="s">
        <v>361</v>
      </c>
      <c r="BT3" s="146" t="s">
        <v>360</v>
      </c>
      <c r="BU3" s="146" t="s">
        <v>361</v>
      </c>
      <c r="BV3" s="146" t="s">
        <v>361</v>
      </c>
      <c r="BW3" s="146" t="s">
        <v>361</v>
      </c>
      <c r="BX3" s="146" t="s">
        <v>361</v>
      </c>
      <c r="BY3" s="146" t="s">
        <v>361</v>
      </c>
      <c r="BZ3" s="149" t="s">
        <v>361</v>
      </c>
    </row>
    <row r="4" spans="1:78" s="2" customFormat="1" x14ac:dyDescent="0.25">
      <c r="A4" s="181" t="s">
        <v>219</v>
      </c>
      <c r="B4" s="146" t="s">
        <v>360</v>
      </c>
      <c r="C4" s="146" t="s">
        <v>361</v>
      </c>
      <c r="D4" s="146" t="s">
        <v>361</v>
      </c>
      <c r="E4" s="146" t="s">
        <v>360</v>
      </c>
      <c r="F4" s="146" t="s">
        <v>361</v>
      </c>
      <c r="G4" s="146" t="s">
        <v>360</v>
      </c>
      <c r="H4" s="146" t="s">
        <v>361</v>
      </c>
      <c r="I4" s="146" t="s">
        <v>361</v>
      </c>
      <c r="J4" s="149" t="s">
        <v>361</v>
      </c>
      <c r="K4" s="181" t="s">
        <v>219</v>
      </c>
      <c r="L4" s="146" t="str">
        <f>LOOKUP($K4,PantheonList!$A$18:$A$139,PantheonList!$B$18:$B$139)</f>
        <v>Art</v>
      </c>
      <c r="M4" s="146" t="str">
        <f>LOOKUP($K4,PantheonList!$A$18:$A$139,PantheonList!$C$18:$C$139)</f>
        <v>Awareness</v>
      </c>
      <c r="N4" s="146" t="str">
        <f>LOOKUP($K4,PantheonList!$A$18:$A$139,PantheonList!$D$18:$D$139)</f>
        <v>Craft</v>
      </c>
      <c r="O4" s="146" t="str">
        <f>LOOKUP($K4,PantheonList!$A$18:$A$139,PantheonList!$E$18:$E$139)</f>
        <v>Empathy</v>
      </c>
      <c r="P4" s="146" t="str">
        <f>LOOKUP($K4,PantheonList!$A$18:$A$139,PantheonList!$F$18:$F$139)</f>
        <v>Integrity</v>
      </c>
      <c r="Q4" s="146" t="str">
        <f>LOOKUP($K4,PantheonList!$A$18:$A$139,PantheonList!$G$18:$G$139)</f>
        <v>Presence</v>
      </c>
      <c r="R4" s="146" t="str">
        <f t="shared" si="0"/>
        <v>No</v>
      </c>
      <c r="S4" s="146" t="str">
        <f t="shared" si="0"/>
        <v>No</v>
      </c>
      <c r="T4" s="146" t="str">
        <f t="shared" si="0"/>
        <v>Yes</v>
      </c>
      <c r="U4" s="146" t="str">
        <f t="shared" si="0"/>
        <v>No</v>
      </c>
      <c r="V4" s="146" t="str">
        <f t="shared" si="0"/>
        <v>Yes</v>
      </c>
      <c r="W4" s="146" t="str">
        <f t="shared" si="0"/>
        <v>No</v>
      </c>
      <c r="X4" s="146" t="str">
        <f t="shared" si="0"/>
        <v>No</v>
      </c>
      <c r="Y4" s="146" t="str">
        <f t="shared" si="0"/>
        <v>No</v>
      </c>
      <c r="Z4" s="146" t="str">
        <f t="shared" si="0"/>
        <v>Yes</v>
      </c>
      <c r="AA4" s="146" t="str">
        <f t="shared" si="0"/>
        <v>Yes</v>
      </c>
      <c r="AB4" s="146" t="str">
        <f t="shared" si="1"/>
        <v>No</v>
      </c>
      <c r="AC4" s="146" t="str">
        <f t="shared" si="1"/>
        <v>Yes</v>
      </c>
      <c r="AD4" s="146" t="str">
        <f t="shared" si="1"/>
        <v>No</v>
      </c>
      <c r="AE4" s="146" t="str">
        <f t="shared" si="1"/>
        <v>No</v>
      </c>
      <c r="AF4" s="146" t="str">
        <f t="shared" si="1"/>
        <v>No</v>
      </c>
      <c r="AG4" s="146" t="str">
        <f t="shared" si="1"/>
        <v>No</v>
      </c>
      <c r="AH4" s="146" t="str">
        <f t="shared" si="1"/>
        <v>No</v>
      </c>
      <c r="AI4" s="146" t="str">
        <f t="shared" si="1"/>
        <v>No</v>
      </c>
      <c r="AJ4" s="146" t="str">
        <f t="shared" si="1"/>
        <v>No</v>
      </c>
      <c r="AK4" s="146" t="str">
        <f t="shared" si="1"/>
        <v>Yes</v>
      </c>
      <c r="AL4" s="146" t="str">
        <f t="shared" si="1"/>
        <v>No</v>
      </c>
      <c r="AM4" s="146" t="str">
        <f t="shared" si="1"/>
        <v>No</v>
      </c>
      <c r="AN4" s="146" t="str">
        <f t="shared" si="1"/>
        <v>No</v>
      </c>
      <c r="AO4" s="149" t="str">
        <f t="shared" si="1"/>
        <v>No</v>
      </c>
      <c r="AP4" s="181" t="s">
        <v>219</v>
      </c>
      <c r="AQ4" s="146">
        <v>4</v>
      </c>
      <c r="AR4" s="146" t="s">
        <v>361</v>
      </c>
      <c r="AS4" s="146" t="s">
        <v>361</v>
      </c>
      <c r="AT4" s="146" t="s">
        <v>361</v>
      </c>
      <c r="AU4" s="146" t="s">
        <v>361</v>
      </c>
      <c r="AV4" s="146" t="s">
        <v>361</v>
      </c>
      <c r="AW4" s="146" t="s">
        <v>361</v>
      </c>
      <c r="AX4" s="146" t="s">
        <v>361</v>
      </c>
      <c r="AY4" s="146" t="s">
        <v>361</v>
      </c>
      <c r="AZ4" s="146" t="s">
        <v>361</v>
      </c>
      <c r="BA4" s="146" t="s">
        <v>361</v>
      </c>
      <c r="BB4" s="146" t="s">
        <v>360</v>
      </c>
      <c r="BC4" s="146" t="s">
        <v>361</v>
      </c>
      <c r="BD4" s="146" t="s">
        <v>361</v>
      </c>
      <c r="BE4" s="146" t="s">
        <v>361</v>
      </c>
      <c r="BF4" s="146" t="s">
        <v>361</v>
      </c>
      <c r="BG4" s="146" t="s">
        <v>361</v>
      </c>
      <c r="BH4" s="146" t="s">
        <v>361</v>
      </c>
      <c r="BI4" s="146" t="s">
        <v>361</v>
      </c>
      <c r="BJ4" s="146" t="s">
        <v>361</v>
      </c>
      <c r="BK4" s="146" t="s">
        <v>361</v>
      </c>
      <c r="BL4" s="146" t="s">
        <v>361</v>
      </c>
      <c r="BM4" s="146" t="s">
        <v>361</v>
      </c>
      <c r="BN4" s="146" t="s">
        <v>361</v>
      </c>
      <c r="BO4" s="146" t="s">
        <v>361</v>
      </c>
      <c r="BP4" s="146" t="s">
        <v>361</v>
      </c>
      <c r="BQ4" s="146" t="s">
        <v>361</v>
      </c>
      <c r="BR4" s="146" t="s">
        <v>361</v>
      </c>
      <c r="BS4" s="146" t="s">
        <v>361</v>
      </c>
      <c r="BT4" s="146" t="s">
        <v>361</v>
      </c>
      <c r="BU4" s="146" t="s">
        <v>361</v>
      </c>
      <c r="BV4" s="146" t="s">
        <v>360</v>
      </c>
      <c r="BW4" s="146" t="s">
        <v>361</v>
      </c>
      <c r="BX4" s="146" t="s">
        <v>360</v>
      </c>
      <c r="BY4" s="146" t="s">
        <v>361</v>
      </c>
      <c r="BZ4" s="149" t="s">
        <v>361</v>
      </c>
    </row>
    <row r="5" spans="1:78" s="2" customFormat="1" x14ac:dyDescent="0.25">
      <c r="A5" s="181" t="s">
        <v>304</v>
      </c>
      <c r="B5" s="146" t="s">
        <v>361</v>
      </c>
      <c r="C5" s="146" t="s">
        <v>361</v>
      </c>
      <c r="D5" s="146" t="s">
        <v>361</v>
      </c>
      <c r="E5" s="146" t="s">
        <v>360</v>
      </c>
      <c r="F5" s="146" t="s">
        <v>361</v>
      </c>
      <c r="G5" s="146" t="s">
        <v>360</v>
      </c>
      <c r="H5" s="146" t="s">
        <v>361</v>
      </c>
      <c r="I5" s="146" t="s">
        <v>360</v>
      </c>
      <c r="J5" s="149" t="s">
        <v>361</v>
      </c>
      <c r="K5" s="181" t="s">
        <v>304</v>
      </c>
      <c r="L5" s="146" t="str">
        <f>LOOKUP($K5,PantheonList!$A$18:$A$139,PantheonList!$B$18:$B$139)</f>
        <v>Academics</v>
      </c>
      <c r="M5" s="146" t="str">
        <f>LOOKUP($K5,PantheonList!$A$18:$A$139,PantheonList!$C$18:$C$139)</f>
        <v>Brawl</v>
      </c>
      <c r="N5" s="146" t="str">
        <f>LOOKUP($K5,PantheonList!$A$18:$A$139,PantheonList!$D$18:$D$139)</f>
        <v>Empathy</v>
      </c>
      <c r="O5" s="146" t="str">
        <f>LOOKUP($K5,PantheonList!$A$18:$A$139,PantheonList!$E$18:$E$139)</f>
        <v>Fortitude</v>
      </c>
      <c r="P5" s="146" t="str">
        <f>LOOKUP($K5,PantheonList!$A$18:$A$139,PantheonList!$F$18:$F$139)</f>
        <v>Medicine</v>
      </c>
      <c r="Q5" s="146" t="str">
        <f>LOOKUP($K5,PantheonList!$A$18:$A$139,PantheonList!$G$18:$G$139)</f>
        <v>Politics</v>
      </c>
      <c r="R5" s="146" t="str">
        <f t="shared" si="0"/>
        <v>Yes</v>
      </c>
      <c r="S5" s="146" t="str">
        <f t="shared" si="0"/>
        <v>No</v>
      </c>
      <c r="T5" s="146" t="str">
        <f t="shared" si="0"/>
        <v>No</v>
      </c>
      <c r="U5" s="146" t="str">
        <f t="shared" si="0"/>
        <v>No</v>
      </c>
      <c r="V5" s="146" t="str">
        <f t="shared" si="0"/>
        <v>No</v>
      </c>
      <c r="W5" s="146" t="str">
        <f t="shared" si="0"/>
        <v>Yes</v>
      </c>
      <c r="X5" s="146" t="str">
        <f t="shared" si="0"/>
        <v>No</v>
      </c>
      <c r="Y5" s="146" t="str">
        <f t="shared" si="0"/>
        <v>No</v>
      </c>
      <c r="Z5" s="146" t="str">
        <f t="shared" si="0"/>
        <v>No</v>
      </c>
      <c r="AA5" s="146" t="str">
        <f t="shared" si="0"/>
        <v>Yes</v>
      </c>
      <c r="AB5" s="146" t="str">
        <f t="shared" si="1"/>
        <v>Yes</v>
      </c>
      <c r="AC5" s="146" t="str">
        <f t="shared" si="1"/>
        <v>No</v>
      </c>
      <c r="AD5" s="146" t="str">
        <f t="shared" si="1"/>
        <v>No</v>
      </c>
      <c r="AE5" s="146" t="str">
        <f t="shared" si="1"/>
        <v>No</v>
      </c>
      <c r="AF5" s="146" t="str">
        <f t="shared" si="1"/>
        <v>No</v>
      </c>
      <c r="AG5" s="146" t="str">
        <f t="shared" si="1"/>
        <v>Yes</v>
      </c>
      <c r="AH5" s="146" t="str">
        <f t="shared" si="1"/>
        <v>No</v>
      </c>
      <c r="AI5" s="146" t="str">
        <f t="shared" si="1"/>
        <v>No</v>
      </c>
      <c r="AJ5" s="146" t="str">
        <f t="shared" si="1"/>
        <v>Yes</v>
      </c>
      <c r="AK5" s="146" t="str">
        <f t="shared" si="1"/>
        <v>No</v>
      </c>
      <c r="AL5" s="146" t="str">
        <f t="shared" si="1"/>
        <v>No</v>
      </c>
      <c r="AM5" s="146" t="str">
        <f t="shared" si="1"/>
        <v>No</v>
      </c>
      <c r="AN5" s="146" t="str">
        <f t="shared" si="1"/>
        <v>No</v>
      </c>
      <c r="AO5" s="149" t="str">
        <f t="shared" si="1"/>
        <v>No</v>
      </c>
      <c r="AP5" s="181" t="s">
        <v>304</v>
      </c>
      <c r="AQ5" s="146">
        <v>5</v>
      </c>
      <c r="AR5" s="146" t="s">
        <v>361</v>
      </c>
      <c r="AS5" s="146" t="s">
        <v>361</v>
      </c>
      <c r="AT5" s="146" t="s">
        <v>360</v>
      </c>
      <c r="AU5" s="146" t="s">
        <v>361</v>
      </c>
      <c r="AV5" s="146" t="s">
        <v>361</v>
      </c>
      <c r="AW5" s="146" t="s">
        <v>361</v>
      </c>
      <c r="AX5" s="146" t="s">
        <v>361</v>
      </c>
      <c r="AY5" s="146" t="s">
        <v>361</v>
      </c>
      <c r="AZ5" s="146" t="s">
        <v>361</v>
      </c>
      <c r="BA5" s="146" t="s">
        <v>361</v>
      </c>
      <c r="BB5" s="146" t="s">
        <v>361</v>
      </c>
      <c r="BC5" s="146" t="s">
        <v>361</v>
      </c>
      <c r="BD5" s="146" t="s">
        <v>361</v>
      </c>
      <c r="BE5" s="146" t="s">
        <v>361</v>
      </c>
      <c r="BF5" s="146" t="s">
        <v>360</v>
      </c>
      <c r="BG5" s="146" t="s">
        <v>361</v>
      </c>
      <c r="BH5" s="146" t="s">
        <v>361</v>
      </c>
      <c r="BI5" s="146" t="s">
        <v>361</v>
      </c>
      <c r="BJ5" s="146" t="s">
        <v>361</v>
      </c>
      <c r="BK5" s="146" t="s">
        <v>361</v>
      </c>
      <c r="BL5" s="146" t="s">
        <v>361</v>
      </c>
      <c r="BM5" s="146" t="s">
        <v>361</v>
      </c>
      <c r="BN5" s="146" t="s">
        <v>361</v>
      </c>
      <c r="BO5" s="146" t="s">
        <v>361</v>
      </c>
      <c r="BP5" s="146" t="s">
        <v>361</v>
      </c>
      <c r="BQ5" s="146" t="s">
        <v>361</v>
      </c>
      <c r="BR5" s="146" t="s">
        <v>361</v>
      </c>
      <c r="BS5" s="146" t="s">
        <v>361</v>
      </c>
      <c r="BT5" s="146" t="s">
        <v>361</v>
      </c>
      <c r="BU5" s="146" t="s">
        <v>361</v>
      </c>
      <c r="BV5" s="146" t="s">
        <v>361</v>
      </c>
      <c r="BW5" s="146" t="s">
        <v>361</v>
      </c>
      <c r="BX5" s="146" t="s">
        <v>361</v>
      </c>
      <c r="BY5" s="146" t="s">
        <v>360</v>
      </c>
      <c r="BZ5" s="149" t="s">
        <v>360</v>
      </c>
    </row>
    <row r="6" spans="1:78" s="2" customFormat="1" x14ac:dyDescent="0.25">
      <c r="A6" s="181" t="s">
        <v>284</v>
      </c>
      <c r="B6" s="146" t="s">
        <v>361</v>
      </c>
      <c r="C6" s="146" t="s">
        <v>361</v>
      </c>
      <c r="D6" s="146" t="s">
        <v>361</v>
      </c>
      <c r="E6" s="146" t="s">
        <v>361</v>
      </c>
      <c r="F6" s="146" t="s">
        <v>361</v>
      </c>
      <c r="G6" s="146" t="s">
        <v>361</v>
      </c>
      <c r="H6" s="146" t="s">
        <v>360</v>
      </c>
      <c r="I6" s="146" t="s">
        <v>361</v>
      </c>
      <c r="J6" s="149" t="s">
        <v>361</v>
      </c>
      <c r="K6" s="181" t="s">
        <v>284</v>
      </c>
      <c r="L6" s="146" t="str">
        <f>LOOKUP($K6,PantheonList!$A$18:$A$139,PantheonList!$B$18:$B$139)</f>
        <v>Animal Ken</v>
      </c>
      <c r="M6" s="146" t="str">
        <f>LOOKUP($K6,PantheonList!$A$18:$A$139,PantheonList!$C$18:$C$139)</f>
        <v>Empathy</v>
      </c>
      <c r="N6" s="146" t="str">
        <f>LOOKUP($K6,PantheonList!$A$18:$A$139,PantheonList!$D$18:$D$139)</f>
        <v>Integrity</v>
      </c>
      <c r="O6" s="146" t="str">
        <f>LOOKUP($K6,PantheonList!$A$18:$A$139,PantheonList!$E$18:$E$139)</f>
        <v>Medicine</v>
      </c>
      <c r="P6" s="146" t="str">
        <f>LOOKUP($K6,PantheonList!$A$18:$A$139,PantheonList!$F$18:$F$139)</f>
        <v>Melee</v>
      </c>
      <c r="Q6" s="146" t="str">
        <f>LOOKUP($K6,PantheonList!$A$18:$A$139,PantheonList!$G$18:$G$139)</f>
        <v>Occult</v>
      </c>
      <c r="R6" s="146" t="str">
        <f t="shared" si="0"/>
        <v>No</v>
      </c>
      <c r="S6" s="146" t="str">
        <f t="shared" si="0"/>
        <v>Yes</v>
      </c>
      <c r="T6" s="146" t="str">
        <f t="shared" si="0"/>
        <v>No</v>
      </c>
      <c r="U6" s="146" t="str">
        <f t="shared" si="0"/>
        <v>No</v>
      </c>
      <c r="V6" s="146" t="str">
        <f t="shared" si="0"/>
        <v>No</v>
      </c>
      <c r="W6" s="146" t="str">
        <f t="shared" si="0"/>
        <v>No</v>
      </c>
      <c r="X6" s="146" t="str">
        <f t="shared" si="0"/>
        <v>No</v>
      </c>
      <c r="Y6" s="146" t="str">
        <f t="shared" si="0"/>
        <v>No</v>
      </c>
      <c r="Z6" s="146" t="str">
        <f t="shared" si="0"/>
        <v>No</v>
      </c>
      <c r="AA6" s="146" t="str">
        <f t="shared" si="0"/>
        <v>Yes</v>
      </c>
      <c r="AB6" s="146" t="str">
        <f t="shared" si="1"/>
        <v>No</v>
      </c>
      <c r="AC6" s="146" t="str">
        <f t="shared" si="1"/>
        <v>Yes</v>
      </c>
      <c r="AD6" s="146" t="str">
        <f t="shared" si="1"/>
        <v>No</v>
      </c>
      <c r="AE6" s="146" t="str">
        <f t="shared" si="1"/>
        <v>No</v>
      </c>
      <c r="AF6" s="146" t="str">
        <f t="shared" si="1"/>
        <v>No</v>
      </c>
      <c r="AG6" s="146" t="str">
        <f t="shared" si="1"/>
        <v>Yes</v>
      </c>
      <c r="AH6" s="146" t="str">
        <f t="shared" si="1"/>
        <v>Yes</v>
      </c>
      <c r="AI6" s="146" t="str">
        <f t="shared" si="1"/>
        <v>Yes</v>
      </c>
      <c r="AJ6" s="146" t="str">
        <f t="shared" si="1"/>
        <v>No</v>
      </c>
      <c r="AK6" s="146" t="str">
        <f t="shared" si="1"/>
        <v>No</v>
      </c>
      <c r="AL6" s="146" t="str">
        <f t="shared" si="1"/>
        <v>No</v>
      </c>
      <c r="AM6" s="146" t="str">
        <f t="shared" si="1"/>
        <v>No</v>
      </c>
      <c r="AN6" s="146" t="str">
        <f t="shared" si="1"/>
        <v>No</v>
      </c>
      <c r="AO6" s="149" t="str">
        <f t="shared" si="1"/>
        <v>No</v>
      </c>
      <c r="AP6" s="181" t="s">
        <v>284</v>
      </c>
      <c r="AQ6" s="146">
        <v>6</v>
      </c>
      <c r="AR6" s="146" t="s">
        <v>360</v>
      </c>
      <c r="AS6" s="146" t="s">
        <v>361</v>
      </c>
      <c r="AT6" s="146" t="s">
        <v>361</v>
      </c>
      <c r="AU6" s="146" t="s">
        <v>361</v>
      </c>
      <c r="AV6" s="146" t="s">
        <v>361</v>
      </c>
      <c r="AW6" s="146" t="s">
        <v>361</v>
      </c>
      <c r="AX6" s="146" t="s">
        <v>361</v>
      </c>
      <c r="AY6" s="146" t="s">
        <v>360</v>
      </c>
      <c r="AZ6" s="146" t="s">
        <v>361</v>
      </c>
      <c r="BA6" s="146" t="s">
        <v>361</v>
      </c>
      <c r="BB6" s="146" t="s">
        <v>361</v>
      </c>
      <c r="BC6" s="146" t="s">
        <v>361</v>
      </c>
      <c r="BD6" s="146" t="s">
        <v>361</v>
      </c>
      <c r="BE6" s="146" t="s">
        <v>360</v>
      </c>
      <c r="BF6" s="146" t="s">
        <v>361</v>
      </c>
      <c r="BG6" s="146" t="s">
        <v>360</v>
      </c>
      <c r="BH6" s="146" t="s">
        <v>361</v>
      </c>
      <c r="BI6" s="146" t="s">
        <v>361</v>
      </c>
      <c r="BJ6" s="146" t="s">
        <v>361</v>
      </c>
      <c r="BK6" s="146" t="s">
        <v>361</v>
      </c>
      <c r="BL6" s="146" t="s">
        <v>360</v>
      </c>
      <c r="BM6" s="146" t="s">
        <v>361</v>
      </c>
      <c r="BN6" s="146" t="s">
        <v>361</v>
      </c>
      <c r="BO6" s="146" t="s">
        <v>361</v>
      </c>
      <c r="BP6" s="146" t="s">
        <v>361</v>
      </c>
      <c r="BQ6" s="146" t="s">
        <v>361</v>
      </c>
      <c r="BR6" s="146" t="s">
        <v>361</v>
      </c>
      <c r="BS6" s="146" t="s">
        <v>361</v>
      </c>
      <c r="BT6" s="146" t="s">
        <v>361</v>
      </c>
      <c r="BU6" s="146" t="s">
        <v>361</v>
      </c>
      <c r="BV6" s="146" t="s">
        <v>361</v>
      </c>
      <c r="BW6" s="146" t="s">
        <v>361</v>
      </c>
      <c r="BX6" s="146" t="s">
        <v>361</v>
      </c>
      <c r="BY6" s="146" t="s">
        <v>361</v>
      </c>
      <c r="BZ6" s="149" t="s">
        <v>361</v>
      </c>
    </row>
    <row r="7" spans="1:78" s="2" customFormat="1" x14ac:dyDescent="0.25">
      <c r="A7" s="181" t="s">
        <v>261</v>
      </c>
      <c r="B7" s="146" t="s">
        <v>361</v>
      </c>
      <c r="C7" s="146" t="s">
        <v>361</v>
      </c>
      <c r="D7" s="146" t="s">
        <v>361</v>
      </c>
      <c r="E7" s="146" t="s">
        <v>360</v>
      </c>
      <c r="F7" s="146" t="s">
        <v>360</v>
      </c>
      <c r="G7" s="146" t="s">
        <v>360</v>
      </c>
      <c r="H7" s="146" t="s">
        <v>361</v>
      </c>
      <c r="I7" s="146" t="s">
        <v>361</v>
      </c>
      <c r="J7" s="149" t="s">
        <v>361</v>
      </c>
      <c r="K7" s="181" t="s">
        <v>261</v>
      </c>
      <c r="L7" s="146" t="str">
        <f>LOOKUP($K7,PantheonList!$A$18:$A$139,PantheonList!$B$18:$B$139)</f>
        <v>Animal Ken</v>
      </c>
      <c r="M7" s="146" t="str">
        <f>LOOKUP($K7,PantheonList!$A$18:$A$139,PantheonList!$C$18:$C$139)</f>
        <v>Art</v>
      </c>
      <c r="N7" s="146" t="str">
        <f>LOOKUP($K7,PantheonList!$A$18:$A$139,PantheonList!$D$18:$D$139)</f>
        <v>Empathy</v>
      </c>
      <c r="O7" s="146" t="str">
        <f>LOOKUP($K7,PantheonList!$A$18:$A$139,PantheonList!$E$18:$E$139)</f>
        <v>Integrity</v>
      </c>
      <c r="P7" s="146" t="str">
        <f>LOOKUP($K7,PantheonList!$A$18:$A$139,PantheonList!$F$18:$F$139)</f>
        <v>Larceny</v>
      </c>
      <c r="Q7" s="146" t="str">
        <f>LOOKUP($K7,PantheonList!$A$18:$A$139,PantheonList!$G$18:$G$139)</f>
        <v>Presence</v>
      </c>
      <c r="R7" s="146" t="str">
        <f t="shared" si="0"/>
        <v>No</v>
      </c>
      <c r="S7" s="146" t="str">
        <f t="shared" si="0"/>
        <v>Yes</v>
      </c>
      <c r="T7" s="146" t="str">
        <f t="shared" si="0"/>
        <v>Yes</v>
      </c>
      <c r="U7" s="146" t="str">
        <f t="shared" si="0"/>
        <v>No</v>
      </c>
      <c r="V7" s="146" t="str">
        <f t="shared" si="0"/>
        <v>No</v>
      </c>
      <c r="W7" s="146" t="str">
        <f t="shared" si="0"/>
        <v>No</v>
      </c>
      <c r="X7" s="146" t="str">
        <f t="shared" si="0"/>
        <v>No</v>
      </c>
      <c r="Y7" s="146" t="str">
        <f t="shared" si="0"/>
        <v>No</v>
      </c>
      <c r="Z7" s="146" t="str">
        <f t="shared" si="0"/>
        <v>No</v>
      </c>
      <c r="AA7" s="146" t="str">
        <f t="shared" si="0"/>
        <v>Yes</v>
      </c>
      <c r="AB7" s="146" t="str">
        <f t="shared" si="1"/>
        <v>No</v>
      </c>
      <c r="AC7" s="146" t="str">
        <f t="shared" si="1"/>
        <v>Yes</v>
      </c>
      <c r="AD7" s="146" t="str">
        <f t="shared" si="1"/>
        <v>No</v>
      </c>
      <c r="AE7" s="146" t="str">
        <f t="shared" si="1"/>
        <v>Yes</v>
      </c>
      <c r="AF7" s="146" t="str">
        <f t="shared" si="1"/>
        <v>No</v>
      </c>
      <c r="AG7" s="146" t="str">
        <f t="shared" si="1"/>
        <v>No</v>
      </c>
      <c r="AH7" s="146" t="str">
        <f t="shared" si="1"/>
        <v>No</v>
      </c>
      <c r="AI7" s="146" t="str">
        <f t="shared" si="1"/>
        <v>No</v>
      </c>
      <c r="AJ7" s="146" t="str">
        <f t="shared" si="1"/>
        <v>No</v>
      </c>
      <c r="AK7" s="146" t="str">
        <f t="shared" si="1"/>
        <v>Yes</v>
      </c>
      <c r="AL7" s="146" t="str">
        <f t="shared" si="1"/>
        <v>No</v>
      </c>
      <c r="AM7" s="146" t="str">
        <f t="shared" si="1"/>
        <v>No</v>
      </c>
      <c r="AN7" s="146" t="str">
        <f t="shared" si="1"/>
        <v>No</v>
      </c>
      <c r="AO7" s="149" t="str">
        <f t="shared" si="1"/>
        <v>No</v>
      </c>
      <c r="AP7" s="181" t="s">
        <v>261</v>
      </c>
      <c r="AQ7" s="146">
        <v>7</v>
      </c>
      <c r="AR7" s="146" t="s">
        <v>361</v>
      </c>
      <c r="AS7" s="146" t="s">
        <v>360</v>
      </c>
      <c r="AT7" s="146" t="s">
        <v>361</v>
      </c>
      <c r="AU7" s="146" t="s">
        <v>361</v>
      </c>
      <c r="AV7" s="146" t="s">
        <v>361</v>
      </c>
      <c r="AW7" s="146" t="s">
        <v>361</v>
      </c>
      <c r="AX7" s="146" t="s">
        <v>361</v>
      </c>
      <c r="AY7" s="146" t="s">
        <v>361</v>
      </c>
      <c r="AZ7" s="146" t="s">
        <v>361</v>
      </c>
      <c r="BA7" s="146" t="s">
        <v>361</v>
      </c>
      <c r="BB7" s="146" t="s">
        <v>361</v>
      </c>
      <c r="BC7" s="146" t="s">
        <v>361</v>
      </c>
      <c r="BD7" s="146" t="s">
        <v>361</v>
      </c>
      <c r="BE7" s="146" t="s">
        <v>361</v>
      </c>
      <c r="BF7" s="146" t="s">
        <v>361</v>
      </c>
      <c r="BG7" s="146" t="s">
        <v>361</v>
      </c>
      <c r="BH7" s="146" t="s">
        <v>361</v>
      </c>
      <c r="BI7" s="146" t="s">
        <v>361</v>
      </c>
      <c r="BJ7" s="146" t="s">
        <v>361</v>
      </c>
      <c r="BK7" s="146" t="s">
        <v>361</v>
      </c>
      <c r="BL7" s="146" t="s">
        <v>361</v>
      </c>
      <c r="BM7" s="146" t="s">
        <v>361</v>
      </c>
      <c r="BN7" s="146" t="s">
        <v>361</v>
      </c>
      <c r="BO7" s="146" t="s">
        <v>361</v>
      </c>
      <c r="BP7" s="146" t="s">
        <v>361</v>
      </c>
      <c r="BQ7" s="146" t="s">
        <v>361</v>
      </c>
      <c r="BR7" s="146" t="s">
        <v>361</v>
      </c>
      <c r="BS7" s="146" t="s">
        <v>361</v>
      </c>
      <c r="BT7" s="146" t="s">
        <v>361</v>
      </c>
      <c r="BU7" s="146" t="s">
        <v>361</v>
      </c>
      <c r="BV7" s="146" t="s">
        <v>361</v>
      </c>
      <c r="BW7" s="146" t="s">
        <v>361</v>
      </c>
      <c r="BX7" s="146" t="s">
        <v>361</v>
      </c>
      <c r="BY7" s="146" t="s">
        <v>361</v>
      </c>
      <c r="BZ7" s="149" t="s">
        <v>361</v>
      </c>
    </row>
    <row r="8" spans="1:78" s="2" customFormat="1" x14ac:dyDescent="0.25">
      <c r="A8" s="181" t="s">
        <v>262</v>
      </c>
      <c r="B8" s="146" t="s">
        <v>361</v>
      </c>
      <c r="C8" s="146" t="s">
        <v>361</v>
      </c>
      <c r="D8" s="146" t="s">
        <v>361</v>
      </c>
      <c r="E8" s="146" t="s">
        <v>360</v>
      </c>
      <c r="F8" s="146" t="s">
        <v>361</v>
      </c>
      <c r="G8" s="146" t="s">
        <v>360</v>
      </c>
      <c r="H8" s="146" t="s">
        <v>361</v>
      </c>
      <c r="I8" s="146" t="s">
        <v>361</v>
      </c>
      <c r="J8" s="149" t="s">
        <v>361</v>
      </c>
      <c r="K8" s="181" t="s">
        <v>262</v>
      </c>
      <c r="L8" s="146" t="str">
        <f>LOOKUP($K8,PantheonList!$A$18:$A$139,PantheonList!$B$18:$B$139)</f>
        <v>Art</v>
      </c>
      <c r="M8" s="146" t="str">
        <f>LOOKUP($K8,PantheonList!$A$18:$A$139,PantheonList!$C$18:$C$139)</f>
        <v>Athletics</v>
      </c>
      <c r="N8" s="146" t="str">
        <f>LOOKUP($K8,PantheonList!$A$18:$A$139,PantheonList!$D$18:$D$139)</f>
        <v>Medicine</v>
      </c>
      <c r="O8" s="146" t="str">
        <f>LOOKUP($K8,PantheonList!$A$18:$A$139,PantheonList!$E$18:$E$139)</f>
        <v>Marksmanship</v>
      </c>
      <c r="P8" s="146" t="str">
        <f>LOOKUP($K8,PantheonList!$A$18:$A$139,PantheonList!$F$18:$F$139)</f>
        <v>Presence</v>
      </c>
      <c r="Q8" s="146" t="str">
        <f>LOOKUP($K8,PantheonList!$A$18:$A$139,PantheonList!$G$18:$G$139)</f>
        <v>Science</v>
      </c>
      <c r="R8" s="146" t="str">
        <f t="shared" si="0"/>
        <v>No</v>
      </c>
      <c r="S8" s="146" t="str">
        <f t="shared" si="0"/>
        <v>No</v>
      </c>
      <c r="T8" s="146" t="str">
        <f t="shared" si="0"/>
        <v>Yes</v>
      </c>
      <c r="U8" s="146" t="str">
        <f t="shared" si="0"/>
        <v>Yes</v>
      </c>
      <c r="V8" s="146" t="str">
        <f t="shared" si="0"/>
        <v>No</v>
      </c>
      <c r="W8" s="146" t="str">
        <f t="shared" si="0"/>
        <v>No</v>
      </c>
      <c r="X8" s="146" t="str">
        <f t="shared" si="0"/>
        <v>No</v>
      </c>
      <c r="Y8" s="146" t="str">
        <f t="shared" si="0"/>
        <v>No</v>
      </c>
      <c r="Z8" s="146" t="str">
        <f t="shared" si="0"/>
        <v>No</v>
      </c>
      <c r="AA8" s="146" t="str">
        <f t="shared" si="0"/>
        <v>No</v>
      </c>
      <c r="AB8" s="146" t="str">
        <f t="shared" si="1"/>
        <v>No</v>
      </c>
      <c r="AC8" s="146" t="str">
        <f t="shared" si="1"/>
        <v>No</v>
      </c>
      <c r="AD8" s="146" t="str">
        <f t="shared" si="1"/>
        <v>No</v>
      </c>
      <c r="AE8" s="146" t="str">
        <f t="shared" si="1"/>
        <v>No</v>
      </c>
      <c r="AF8" s="146" t="str">
        <f t="shared" si="1"/>
        <v>Yes</v>
      </c>
      <c r="AG8" s="146" t="str">
        <f t="shared" si="1"/>
        <v>Yes</v>
      </c>
      <c r="AH8" s="146" t="str">
        <f t="shared" si="1"/>
        <v>No</v>
      </c>
      <c r="AI8" s="146" t="str">
        <f t="shared" si="1"/>
        <v>No</v>
      </c>
      <c r="AJ8" s="146" t="str">
        <f t="shared" si="1"/>
        <v>No</v>
      </c>
      <c r="AK8" s="146" t="str">
        <f t="shared" si="1"/>
        <v>Yes</v>
      </c>
      <c r="AL8" s="146" t="str">
        <f t="shared" si="1"/>
        <v>Yes</v>
      </c>
      <c r="AM8" s="146" t="str">
        <f t="shared" si="1"/>
        <v>No</v>
      </c>
      <c r="AN8" s="146" t="str">
        <f t="shared" si="1"/>
        <v>No</v>
      </c>
      <c r="AO8" s="149" t="str">
        <f t="shared" si="1"/>
        <v>No</v>
      </c>
      <c r="AP8" s="181" t="s">
        <v>262</v>
      </c>
      <c r="AQ8" s="146">
        <v>8</v>
      </c>
      <c r="AR8" s="146" t="s">
        <v>361</v>
      </c>
      <c r="AS8" s="146" t="s">
        <v>360</v>
      </c>
      <c r="AT8" s="146" t="s">
        <v>361</v>
      </c>
      <c r="AU8" s="146" t="s">
        <v>361</v>
      </c>
      <c r="AV8" s="146" t="s">
        <v>361</v>
      </c>
      <c r="AW8" s="146" t="s">
        <v>361</v>
      </c>
      <c r="AX8" s="146" t="s">
        <v>361</v>
      </c>
      <c r="AY8" s="146" t="s">
        <v>361</v>
      </c>
      <c r="AZ8" s="146" t="s">
        <v>361</v>
      </c>
      <c r="BA8" s="146" t="s">
        <v>361</v>
      </c>
      <c r="BB8" s="146" t="s">
        <v>361</v>
      </c>
      <c r="BC8" s="146" t="s">
        <v>361</v>
      </c>
      <c r="BD8" s="146" t="s">
        <v>361</v>
      </c>
      <c r="BE8" s="146" t="s">
        <v>361</v>
      </c>
      <c r="BF8" s="146" t="s">
        <v>360</v>
      </c>
      <c r="BG8" s="146" t="s">
        <v>361</v>
      </c>
      <c r="BH8" s="146" t="s">
        <v>361</v>
      </c>
      <c r="BI8" s="146" t="s">
        <v>361</v>
      </c>
      <c r="BJ8" s="146" t="s">
        <v>361</v>
      </c>
      <c r="BK8" s="146" t="s">
        <v>361</v>
      </c>
      <c r="BL8" s="146" t="s">
        <v>361</v>
      </c>
      <c r="BM8" s="146" t="s">
        <v>361</v>
      </c>
      <c r="BN8" s="146" t="s">
        <v>361</v>
      </c>
      <c r="BO8" s="146" t="s">
        <v>361</v>
      </c>
      <c r="BP8" s="146" t="s">
        <v>360</v>
      </c>
      <c r="BQ8" s="146" t="s">
        <v>361</v>
      </c>
      <c r="BR8" s="146" t="s">
        <v>361</v>
      </c>
      <c r="BS8" s="146" t="s">
        <v>361</v>
      </c>
      <c r="BT8" s="146" t="s">
        <v>361</v>
      </c>
      <c r="BU8" s="146" t="s">
        <v>361</v>
      </c>
      <c r="BV8" s="146" t="s">
        <v>360</v>
      </c>
      <c r="BW8" s="146" t="s">
        <v>361</v>
      </c>
      <c r="BX8" s="146" t="s">
        <v>361</v>
      </c>
      <c r="BY8" s="146" t="s">
        <v>361</v>
      </c>
      <c r="BZ8" s="149" t="s">
        <v>361</v>
      </c>
    </row>
    <row r="9" spans="1:78" s="2" customFormat="1" x14ac:dyDescent="0.25">
      <c r="A9" s="181" t="s">
        <v>305</v>
      </c>
      <c r="B9" s="146" t="s">
        <v>361</v>
      </c>
      <c r="C9" s="146" t="s">
        <v>360</v>
      </c>
      <c r="D9" s="146" t="s">
        <v>361</v>
      </c>
      <c r="E9" s="146" t="s">
        <v>361</v>
      </c>
      <c r="F9" s="146" t="s">
        <v>361</v>
      </c>
      <c r="G9" s="146" t="s">
        <v>361</v>
      </c>
      <c r="H9" s="146" t="s">
        <v>361</v>
      </c>
      <c r="I9" s="146" t="s">
        <v>361</v>
      </c>
      <c r="J9" s="149" t="s">
        <v>360</v>
      </c>
      <c r="K9" s="181" t="s">
        <v>305</v>
      </c>
      <c r="L9" s="146" t="str">
        <f>LOOKUP($K9,PantheonList!$A$18:$A$139,PantheonList!$B$18:$B$139)</f>
        <v>Academics</v>
      </c>
      <c r="M9" s="146" t="str">
        <f>LOOKUP($K9,PantheonList!$A$18:$A$139,PantheonList!$C$18:$C$139)</f>
        <v>Athletics</v>
      </c>
      <c r="N9" s="146" t="str">
        <f>LOOKUP($K9,PantheonList!$A$18:$A$139,PantheonList!$D$18:$D$139)</f>
        <v>Empathy</v>
      </c>
      <c r="O9" s="146" t="str">
        <f>LOOKUP($K9,PantheonList!$A$18:$A$139,PantheonList!$E$18:$E$139)</f>
        <v>Investigation</v>
      </c>
      <c r="P9" s="146" t="str">
        <f>LOOKUP($K9,PantheonList!$A$18:$A$139,PantheonList!$F$18:$F$139)</f>
        <v>Larceny</v>
      </c>
      <c r="Q9" s="146" t="str">
        <f>LOOKUP($K9,PantheonList!$A$18:$A$139,PantheonList!$G$18:$G$139)</f>
        <v>Stealth</v>
      </c>
      <c r="R9" s="146" t="str">
        <f t="shared" si="0"/>
        <v>Yes</v>
      </c>
      <c r="S9" s="146" t="str">
        <f t="shared" si="0"/>
        <v>No</v>
      </c>
      <c r="T9" s="146" t="str">
        <f t="shared" si="0"/>
        <v>No</v>
      </c>
      <c r="U9" s="146" t="str">
        <f t="shared" si="0"/>
        <v>Yes</v>
      </c>
      <c r="V9" s="146" t="str">
        <f t="shared" si="0"/>
        <v>No</v>
      </c>
      <c r="W9" s="146" t="str">
        <f t="shared" si="0"/>
        <v>No</v>
      </c>
      <c r="X9" s="146" t="str">
        <f t="shared" si="0"/>
        <v>No</v>
      </c>
      <c r="Y9" s="146" t="str">
        <f t="shared" si="0"/>
        <v>No</v>
      </c>
      <c r="Z9" s="146" t="str">
        <f t="shared" si="0"/>
        <v>No</v>
      </c>
      <c r="AA9" s="146" t="str">
        <f t="shared" si="0"/>
        <v>Yes</v>
      </c>
      <c r="AB9" s="146" t="str">
        <f t="shared" si="1"/>
        <v>No</v>
      </c>
      <c r="AC9" s="146" t="str">
        <f t="shared" si="1"/>
        <v>No</v>
      </c>
      <c r="AD9" s="146" t="str">
        <f t="shared" si="1"/>
        <v>Yes</v>
      </c>
      <c r="AE9" s="146" t="str">
        <f t="shared" si="1"/>
        <v>Yes</v>
      </c>
      <c r="AF9" s="146" t="str">
        <f t="shared" si="1"/>
        <v>No</v>
      </c>
      <c r="AG9" s="146" t="str">
        <f t="shared" si="1"/>
        <v>No</v>
      </c>
      <c r="AH9" s="146" t="str">
        <f t="shared" si="1"/>
        <v>No</v>
      </c>
      <c r="AI9" s="146" t="str">
        <f t="shared" si="1"/>
        <v>No</v>
      </c>
      <c r="AJ9" s="146" t="str">
        <f t="shared" si="1"/>
        <v>No</v>
      </c>
      <c r="AK9" s="146" t="str">
        <f t="shared" si="1"/>
        <v>No</v>
      </c>
      <c r="AL9" s="146" t="str">
        <f t="shared" si="1"/>
        <v>No</v>
      </c>
      <c r="AM9" s="146" t="str">
        <f t="shared" si="1"/>
        <v>Yes</v>
      </c>
      <c r="AN9" s="146" t="str">
        <f t="shared" si="1"/>
        <v>No</v>
      </c>
      <c r="AO9" s="149" t="str">
        <f t="shared" si="1"/>
        <v>No</v>
      </c>
      <c r="AP9" s="181" t="s">
        <v>305</v>
      </c>
      <c r="AQ9" s="146">
        <v>9</v>
      </c>
      <c r="AR9" s="146" t="s">
        <v>361</v>
      </c>
      <c r="AS9" s="146" t="s">
        <v>361</v>
      </c>
      <c r="AT9" s="146" t="s">
        <v>360</v>
      </c>
      <c r="AU9" s="146" t="s">
        <v>361</v>
      </c>
      <c r="AV9" s="146" t="s">
        <v>361</v>
      </c>
      <c r="AW9" s="146" t="s">
        <v>361</v>
      </c>
      <c r="AX9" s="146" t="s">
        <v>361</v>
      </c>
      <c r="AY9" s="146" t="s">
        <v>361</v>
      </c>
      <c r="AZ9" s="146" t="s">
        <v>361</v>
      </c>
      <c r="BA9" s="146" t="s">
        <v>361</v>
      </c>
      <c r="BB9" s="146" t="s">
        <v>360</v>
      </c>
      <c r="BC9" s="146" t="s">
        <v>361</v>
      </c>
      <c r="BD9" s="146" t="s">
        <v>361</v>
      </c>
      <c r="BE9" s="146" t="s">
        <v>361</v>
      </c>
      <c r="BF9" s="146" t="s">
        <v>361</v>
      </c>
      <c r="BG9" s="146" t="s">
        <v>361</v>
      </c>
      <c r="BH9" s="146" t="s">
        <v>361</v>
      </c>
      <c r="BI9" s="146" t="s">
        <v>361</v>
      </c>
      <c r="BJ9" s="146" t="s">
        <v>361</v>
      </c>
      <c r="BK9" s="146" t="s">
        <v>361</v>
      </c>
      <c r="BL9" s="146" t="s">
        <v>361</v>
      </c>
      <c r="BM9" s="146" t="s">
        <v>360</v>
      </c>
      <c r="BN9" s="146" t="s">
        <v>361</v>
      </c>
      <c r="BO9" s="146" t="s">
        <v>361</v>
      </c>
      <c r="BP9" s="146" t="s">
        <v>361</v>
      </c>
      <c r="BQ9" s="146" t="s">
        <v>361</v>
      </c>
      <c r="BR9" s="146" t="s">
        <v>361</v>
      </c>
      <c r="BS9" s="146" t="s">
        <v>361</v>
      </c>
      <c r="BT9" s="146" t="s">
        <v>361</v>
      </c>
      <c r="BU9" s="146" t="s">
        <v>361</v>
      </c>
      <c r="BV9" s="146" t="s">
        <v>361</v>
      </c>
      <c r="BW9" s="146" t="s">
        <v>361</v>
      </c>
      <c r="BX9" s="146" t="s">
        <v>361</v>
      </c>
      <c r="BY9" s="146" t="s">
        <v>361</v>
      </c>
      <c r="BZ9" s="149" t="s">
        <v>361</v>
      </c>
    </row>
    <row r="10" spans="1:78" s="2" customFormat="1" x14ac:dyDescent="0.25">
      <c r="A10" s="181" t="s">
        <v>263</v>
      </c>
      <c r="B10" s="146" t="s">
        <v>360</v>
      </c>
      <c r="C10" s="146" t="s">
        <v>361</v>
      </c>
      <c r="D10" s="146" t="s">
        <v>360</v>
      </c>
      <c r="E10" s="146" t="s">
        <v>361</v>
      </c>
      <c r="F10" s="146" t="s">
        <v>361</v>
      </c>
      <c r="G10" s="146" t="s">
        <v>361</v>
      </c>
      <c r="H10" s="146" t="s">
        <v>361</v>
      </c>
      <c r="I10" s="146" t="s">
        <v>361</v>
      </c>
      <c r="J10" s="149" t="s">
        <v>361</v>
      </c>
      <c r="K10" s="181" t="s">
        <v>263</v>
      </c>
      <c r="L10" s="146" t="str">
        <f>LOOKUP($K10,PantheonList!$A$18:$A$139,PantheonList!$B$18:$B$139)</f>
        <v>Brawl</v>
      </c>
      <c r="M10" s="146" t="str">
        <f>LOOKUP($K10,PantheonList!$A$18:$A$139,PantheonList!$C$18:$C$139)</f>
        <v>Command</v>
      </c>
      <c r="N10" s="146" t="str">
        <f>LOOKUP($K10,PantheonList!$A$18:$A$139,PantheonList!$D$18:$D$139)</f>
        <v>Marksmanship</v>
      </c>
      <c r="O10" s="146" t="str">
        <f>LOOKUP($K10,PantheonList!$A$18:$A$139,PantheonList!$E$18:$E$139)</f>
        <v>Melee</v>
      </c>
      <c r="P10" s="146" t="str">
        <f>LOOKUP($K10,PantheonList!$A$18:$A$139,PantheonList!$F$18:$F$139)</f>
        <v>Presence</v>
      </c>
      <c r="Q10" s="146" t="str">
        <f>LOOKUP($K10,PantheonList!$A$18:$A$139,PantheonList!$G$18:$G$139)</f>
        <v>Thrown</v>
      </c>
      <c r="R10" s="146" t="str">
        <f t="shared" si="0"/>
        <v>No</v>
      </c>
      <c r="S10" s="146" t="str">
        <f t="shared" si="0"/>
        <v>No</v>
      </c>
      <c r="T10" s="146" t="str">
        <f t="shared" si="0"/>
        <v>No</v>
      </c>
      <c r="U10" s="146" t="str">
        <f t="shared" si="0"/>
        <v>No</v>
      </c>
      <c r="V10" s="146" t="str">
        <f t="shared" si="0"/>
        <v>No</v>
      </c>
      <c r="W10" s="146" t="str">
        <f t="shared" si="0"/>
        <v>Yes</v>
      </c>
      <c r="X10" s="146" t="str">
        <f t="shared" si="0"/>
        <v>Yes</v>
      </c>
      <c r="Y10" s="146" t="str">
        <f t="shared" si="0"/>
        <v>No</v>
      </c>
      <c r="Z10" s="146" t="str">
        <f t="shared" si="0"/>
        <v>No</v>
      </c>
      <c r="AA10" s="146" t="str">
        <f t="shared" si="0"/>
        <v>No</v>
      </c>
      <c r="AB10" s="146" t="str">
        <f t="shared" si="1"/>
        <v>No</v>
      </c>
      <c r="AC10" s="146" t="str">
        <f t="shared" si="1"/>
        <v>No</v>
      </c>
      <c r="AD10" s="146" t="str">
        <f t="shared" si="1"/>
        <v>No</v>
      </c>
      <c r="AE10" s="146" t="str">
        <f t="shared" si="1"/>
        <v>No</v>
      </c>
      <c r="AF10" s="146" t="str">
        <f t="shared" si="1"/>
        <v>Yes</v>
      </c>
      <c r="AG10" s="146" t="str">
        <f t="shared" si="1"/>
        <v>No</v>
      </c>
      <c r="AH10" s="146" t="str">
        <f t="shared" si="1"/>
        <v>Yes</v>
      </c>
      <c r="AI10" s="146" t="str">
        <f t="shared" si="1"/>
        <v>No</v>
      </c>
      <c r="AJ10" s="146" t="str">
        <f t="shared" si="1"/>
        <v>No</v>
      </c>
      <c r="AK10" s="146" t="str">
        <f t="shared" si="1"/>
        <v>Yes</v>
      </c>
      <c r="AL10" s="146" t="str">
        <f t="shared" si="1"/>
        <v>No</v>
      </c>
      <c r="AM10" s="146" t="str">
        <f t="shared" si="1"/>
        <v>No</v>
      </c>
      <c r="AN10" s="146" t="str">
        <f t="shared" si="1"/>
        <v>No</v>
      </c>
      <c r="AO10" s="149" t="str">
        <f t="shared" si="1"/>
        <v>Yes</v>
      </c>
      <c r="AP10" s="181" t="s">
        <v>263</v>
      </c>
      <c r="AQ10" s="146">
        <v>10</v>
      </c>
      <c r="AR10" s="146" t="s">
        <v>361</v>
      </c>
      <c r="AS10" s="146" t="s">
        <v>360</v>
      </c>
      <c r="AT10" s="146" t="s">
        <v>361</v>
      </c>
      <c r="AU10" s="146" t="s">
        <v>361</v>
      </c>
      <c r="AV10" s="146" t="s">
        <v>361</v>
      </c>
      <c r="AW10" s="146" t="s">
        <v>361</v>
      </c>
      <c r="AX10" s="146" t="s">
        <v>361</v>
      </c>
      <c r="AY10" s="146" t="s">
        <v>361</v>
      </c>
      <c r="AZ10" s="146" t="s">
        <v>361</v>
      </c>
      <c r="BA10" s="146" t="s">
        <v>361</v>
      </c>
      <c r="BB10" s="146" t="s">
        <v>361</v>
      </c>
      <c r="BC10" s="146" t="s">
        <v>361</v>
      </c>
      <c r="BD10" s="146" t="s">
        <v>361</v>
      </c>
      <c r="BE10" s="146" t="s">
        <v>361</v>
      </c>
      <c r="BF10" s="146" t="s">
        <v>361</v>
      </c>
      <c r="BG10" s="146" t="s">
        <v>361</v>
      </c>
      <c r="BH10" s="146" t="s">
        <v>361</v>
      </c>
      <c r="BI10" s="146" t="s">
        <v>361</v>
      </c>
      <c r="BJ10" s="146" t="s">
        <v>361</v>
      </c>
      <c r="BK10" s="146" t="s">
        <v>361</v>
      </c>
      <c r="BL10" s="146" t="s">
        <v>361</v>
      </c>
      <c r="BM10" s="146" t="s">
        <v>361</v>
      </c>
      <c r="BN10" s="146" t="s">
        <v>361</v>
      </c>
      <c r="BO10" s="146" t="s">
        <v>361</v>
      </c>
      <c r="BP10" s="146" t="s">
        <v>361</v>
      </c>
      <c r="BQ10" s="146" t="s">
        <v>361</v>
      </c>
      <c r="BR10" s="146" t="s">
        <v>361</v>
      </c>
      <c r="BS10" s="146" t="s">
        <v>361</v>
      </c>
      <c r="BT10" s="146" t="s">
        <v>361</v>
      </c>
      <c r="BU10" s="146" t="s">
        <v>361</v>
      </c>
      <c r="BV10" s="146" t="s">
        <v>361</v>
      </c>
      <c r="BW10" s="146" t="s">
        <v>361</v>
      </c>
      <c r="BX10" s="146" t="s">
        <v>361</v>
      </c>
      <c r="BY10" s="146" t="s">
        <v>360</v>
      </c>
      <c r="BZ10" s="149" t="s">
        <v>361</v>
      </c>
    </row>
    <row r="11" spans="1:78" s="2" customFormat="1" x14ac:dyDescent="0.25">
      <c r="A11" s="181" t="s">
        <v>264</v>
      </c>
      <c r="B11" s="146" t="s">
        <v>361</v>
      </c>
      <c r="C11" s="146" t="s">
        <v>360</v>
      </c>
      <c r="D11" s="146" t="s">
        <v>361</v>
      </c>
      <c r="E11" s="146" t="s">
        <v>361</v>
      </c>
      <c r="F11" s="146" t="s">
        <v>361</v>
      </c>
      <c r="G11" s="146" t="s">
        <v>361</v>
      </c>
      <c r="H11" s="146" t="s">
        <v>360</v>
      </c>
      <c r="I11" s="146" t="s">
        <v>361</v>
      </c>
      <c r="J11" s="149" t="s">
        <v>361</v>
      </c>
      <c r="K11" s="181" t="s">
        <v>264</v>
      </c>
      <c r="L11" s="146" t="str">
        <f>LOOKUP($K11,PantheonList!$A$18:$A$139,PantheonList!$B$18:$B$139)</f>
        <v>Animal Ken</v>
      </c>
      <c r="M11" s="146" t="str">
        <f>LOOKUP($K11,PantheonList!$A$18:$A$139,PantheonList!$C$18:$C$139)</f>
        <v>Awareness</v>
      </c>
      <c r="N11" s="146" t="str">
        <f>LOOKUP($K11,PantheonList!$A$18:$A$139,PantheonList!$D$18:$D$139)</f>
        <v>Empathy</v>
      </c>
      <c r="O11" s="146" t="str">
        <f>LOOKUP($K11,PantheonList!$A$18:$A$139,PantheonList!$E$18:$E$139)</f>
        <v>Fortitude</v>
      </c>
      <c r="P11" s="146" t="str">
        <f>LOOKUP($K11,PantheonList!$A$18:$A$139,PantheonList!$F$18:$F$139)</f>
        <v>Marksmanship</v>
      </c>
      <c r="Q11" s="146" t="str">
        <f>LOOKUP($K11,PantheonList!$A$18:$A$139,PantheonList!$G$18:$G$139)</f>
        <v>Survival</v>
      </c>
      <c r="R11" s="146" t="str">
        <f t="shared" si="0"/>
        <v>No</v>
      </c>
      <c r="S11" s="146" t="str">
        <f t="shared" si="0"/>
        <v>Yes</v>
      </c>
      <c r="T11" s="146" t="str">
        <f t="shared" si="0"/>
        <v>No</v>
      </c>
      <c r="U11" s="146" t="str">
        <f t="shared" si="0"/>
        <v>No</v>
      </c>
      <c r="V11" s="146" t="str">
        <f t="shared" si="0"/>
        <v>Yes</v>
      </c>
      <c r="W11" s="146" t="str">
        <f t="shared" si="0"/>
        <v>No</v>
      </c>
      <c r="X11" s="146" t="str">
        <f t="shared" si="0"/>
        <v>No</v>
      </c>
      <c r="Y11" s="146" t="str">
        <f t="shared" si="0"/>
        <v>No</v>
      </c>
      <c r="Z11" s="146" t="str">
        <f t="shared" si="0"/>
        <v>No</v>
      </c>
      <c r="AA11" s="146" t="str">
        <f t="shared" si="0"/>
        <v>Yes</v>
      </c>
      <c r="AB11" s="146" t="str">
        <f t="shared" si="1"/>
        <v>Yes</v>
      </c>
      <c r="AC11" s="146" t="str">
        <f t="shared" si="1"/>
        <v>No</v>
      </c>
      <c r="AD11" s="146" t="str">
        <f t="shared" si="1"/>
        <v>No</v>
      </c>
      <c r="AE11" s="146" t="str">
        <f t="shared" si="1"/>
        <v>No</v>
      </c>
      <c r="AF11" s="146" t="str">
        <f t="shared" si="1"/>
        <v>Yes</v>
      </c>
      <c r="AG11" s="146" t="str">
        <f t="shared" si="1"/>
        <v>No</v>
      </c>
      <c r="AH11" s="146" t="str">
        <f t="shared" si="1"/>
        <v>No</v>
      </c>
      <c r="AI11" s="146" t="str">
        <f t="shared" si="1"/>
        <v>No</v>
      </c>
      <c r="AJ11" s="146" t="str">
        <f t="shared" si="1"/>
        <v>No</v>
      </c>
      <c r="AK11" s="146" t="str">
        <f t="shared" si="1"/>
        <v>No</v>
      </c>
      <c r="AL11" s="146" t="str">
        <f t="shared" si="1"/>
        <v>No</v>
      </c>
      <c r="AM11" s="146" t="str">
        <f t="shared" si="1"/>
        <v>No</v>
      </c>
      <c r="AN11" s="146" t="str">
        <f t="shared" si="1"/>
        <v>Yes</v>
      </c>
      <c r="AO11" s="149" t="str">
        <f t="shared" si="1"/>
        <v>No</v>
      </c>
      <c r="AP11" s="181" t="s">
        <v>264</v>
      </c>
      <c r="AQ11" s="146">
        <v>11</v>
      </c>
      <c r="AR11" s="146" t="s">
        <v>361</v>
      </c>
      <c r="AS11" s="146" t="s">
        <v>360</v>
      </c>
      <c r="AT11" s="146" t="s">
        <v>361</v>
      </c>
      <c r="AU11" s="146" t="s">
        <v>361</v>
      </c>
      <c r="AV11" s="146" t="s">
        <v>361</v>
      </c>
      <c r="AW11" s="146" t="s">
        <v>361</v>
      </c>
      <c r="AX11" s="146" t="s">
        <v>361</v>
      </c>
      <c r="AY11" s="146" t="s">
        <v>361</v>
      </c>
      <c r="AZ11" s="146" t="s">
        <v>361</v>
      </c>
      <c r="BA11" s="146" t="s">
        <v>361</v>
      </c>
      <c r="BB11" s="146" t="s">
        <v>361</v>
      </c>
      <c r="BC11" s="146" t="s">
        <v>361</v>
      </c>
      <c r="BD11" s="146" t="s">
        <v>361</v>
      </c>
      <c r="BE11" s="146" t="s">
        <v>361</v>
      </c>
      <c r="BF11" s="146" t="s">
        <v>360</v>
      </c>
      <c r="BG11" s="146" t="s">
        <v>361</v>
      </c>
      <c r="BH11" s="146" t="s">
        <v>361</v>
      </c>
      <c r="BI11" s="146" t="s">
        <v>361</v>
      </c>
      <c r="BJ11" s="146" t="s">
        <v>361</v>
      </c>
      <c r="BK11" s="146" t="s">
        <v>361</v>
      </c>
      <c r="BL11" s="146" t="s">
        <v>361</v>
      </c>
      <c r="BM11" s="146" t="s">
        <v>361</v>
      </c>
      <c r="BN11" s="146" t="s">
        <v>360</v>
      </c>
      <c r="BO11" s="146" t="s">
        <v>361</v>
      </c>
      <c r="BP11" s="146" t="s">
        <v>361</v>
      </c>
      <c r="BQ11" s="146" t="s">
        <v>361</v>
      </c>
      <c r="BR11" s="146" t="s">
        <v>361</v>
      </c>
      <c r="BS11" s="146" t="s">
        <v>361</v>
      </c>
      <c r="BT11" s="146" t="s">
        <v>361</v>
      </c>
      <c r="BU11" s="146" t="s">
        <v>361</v>
      </c>
      <c r="BV11" s="146" t="s">
        <v>361</v>
      </c>
      <c r="BW11" s="146" t="s">
        <v>361</v>
      </c>
      <c r="BX11" s="146" t="s">
        <v>361</v>
      </c>
      <c r="BY11" s="146" t="s">
        <v>361</v>
      </c>
      <c r="BZ11" s="149" t="s">
        <v>361</v>
      </c>
    </row>
    <row r="12" spans="1:78" s="2" customFormat="1" x14ac:dyDescent="0.25">
      <c r="A12" s="181" t="s">
        <v>265</v>
      </c>
      <c r="B12" s="146" t="s">
        <v>361</v>
      </c>
      <c r="C12" s="146" t="s">
        <v>361</v>
      </c>
      <c r="D12" s="146" t="s">
        <v>361</v>
      </c>
      <c r="E12" s="146" t="s">
        <v>361</v>
      </c>
      <c r="F12" s="146" t="s">
        <v>361</v>
      </c>
      <c r="G12" s="146" t="s">
        <v>361</v>
      </c>
      <c r="H12" s="146" t="s">
        <v>361</v>
      </c>
      <c r="I12" s="146" t="s">
        <v>360</v>
      </c>
      <c r="J12" s="149" t="s">
        <v>360</v>
      </c>
      <c r="K12" s="181" t="s">
        <v>265</v>
      </c>
      <c r="L12" s="146" t="str">
        <f>LOOKUP($K12,PantheonList!$A$18:$A$139,PantheonList!$B$18:$B$139)</f>
        <v>Academics</v>
      </c>
      <c r="M12" s="146" t="str">
        <f>LOOKUP($K12,PantheonList!$A$18:$A$139,PantheonList!$C$18:$C$139)</f>
        <v>Command</v>
      </c>
      <c r="N12" s="146" t="str">
        <f>LOOKUP($K12,PantheonList!$A$18:$A$139,PantheonList!$D$18:$D$139)</f>
        <v>Craft</v>
      </c>
      <c r="O12" s="146" t="str">
        <f>LOOKUP($K12,PantheonList!$A$18:$A$139,PantheonList!$E$18:$E$139)</f>
        <v>Melee</v>
      </c>
      <c r="P12" s="146" t="str">
        <f>LOOKUP($K12,PantheonList!$A$18:$A$139,PantheonList!$F$18:$F$139)</f>
        <v>Investigation</v>
      </c>
      <c r="Q12" s="146" t="str">
        <f>LOOKUP($K12,PantheonList!$A$18:$A$139,PantheonList!$G$18:$G$139)</f>
        <v>Science</v>
      </c>
      <c r="R12" s="146" t="str">
        <f t="shared" ref="R12:AA21" si="2">IF(OR($Q12=R$1,$P12=R$1,$O12=R$1,$N12=R$1,$M12=R$1,$L12=R$1),"Yes","No")</f>
        <v>Yes</v>
      </c>
      <c r="S12" s="146" t="str">
        <f t="shared" si="2"/>
        <v>No</v>
      </c>
      <c r="T12" s="146" t="str">
        <f t="shared" si="2"/>
        <v>No</v>
      </c>
      <c r="U12" s="146" t="str">
        <f t="shared" si="2"/>
        <v>No</v>
      </c>
      <c r="V12" s="146" t="str">
        <f t="shared" si="2"/>
        <v>No</v>
      </c>
      <c r="W12" s="146" t="str">
        <f t="shared" si="2"/>
        <v>No</v>
      </c>
      <c r="X12" s="146" t="str">
        <f t="shared" si="2"/>
        <v>Yes</v>
      </c>
      <c r="Y12" s="146" t="str">
        <f t="shared" si="2"/>
        <v>No</v>
      </c>
      <c r="Z12" s="146" t="str">
        <f t="shared" si="2"/>
        <v>Yes</v>
      </c>
      <c r="AA12" s="146" t="str">
        <f t="shared" si="2"/>
        <v>No</v>
      </c>
      <c r="AB12" s="146" t="str">
        <f t="shared" ref="AB12:AO21" si="3">IF(OR($Q12=AB$1,$P12=AB$1,$O12=AB$1,$N12=AB$1,$M12=AB$1,$L12=AB$1),"Yes","No")</f>
        <v>No</v>
      </c>
      <c r="AC12" s="146" t="str">
        <f t="shared" si="3"/>
        <v>No</v>
      </c>
      <c r="AD12" s="146" t="str">
        <f t="shared" si="3"/>
        <v>Yes</v>
      </c>
      <c r="AE12" s="146" t="str">
        <f t="shared" si="3"/>
        <v>No</v>
      </c>
      <c r="AF12" s="146" t="str">
        <f t="shared" si="3"/>
        <v>No</v>
      </c>
      <c r="AG12" s="146" t="str">
        <f t="shared" si="3"/>
        <v>No</v>
      </c>
      <c r="AH12" s="146" t="str">
        <f t="shared" si="3"/>
        <v>Yes</v>
      </c>
      <c r="AI12" s="146" t="str">
        <f t="shared" si="3"/>
        <v>No</v>
      </c>
      <c r="AJ12" s="146" t="str">
        <f t="shared" si="3"/>
        <v>No</v>
      </c>
      <c r="AK12" s="146" t="str">
        <f t="shared" si="3"/>
        <v>No</v>
      </c>
      <c r="AL12" s="146" t="str">
        <f t="shared" si="3"/>
        <v>Yes</v>
      </c>
      <c r="AM12" s="146" t="str">
        <f t="shared" si="3"/>
        <v>No</v>
      </c>
      <c r="AN12" s="146" t="str">
        <f t="shared" si="3"/>
        <v>No</v>
      </c>
      <c r="AO12" s="149" t="str">
        <f t="shared" si="3"/>
        <v>No</v>
      </c>
      <c r="AP12" s="181" t="s">
        <v>265</v>
      </c>
      <c r="AQ12" s="146">
        <v>12</v>
      </c>
      <c r="AR12" s="146" t="s">
        <v>360</v>
      </c>
      <c r="AS12" s="146" t="s">
        <v>360</v>
      </c>
      <c r="AT12" s="146" t="s">
        <v>361</v>
      </c>
      <c r="AU12" s="146" t="s">
        <v>361</v>
      </c>
      <c r="AV12" s="146" t="s">
        <v>361</v>
      </c>
      <c r="AW12" s="146" t="s">
        <v>361</v>
      </c>
      <c r="AX12" s="146" t="s">
        <v>361</v>
      </c>
      <c r="AY12" s="146" t="s">
        <v>361</v>
      </c>
      <c r="AZ12" s="146" t="s">
        <v>361</v>
      </c>
      <c r="BA12" s="146" t="s">
        <v>361</v>
      </c>
      <c r="BB12" s="146" t="s">
        <v>361</v>
      </c>
      <c r="BC12" s="146" t="s">
        <v>361</v>
      </c>
      <c r="BD12" s="146" t="s">
        <v>361</v>
      </c>
      <c r="BE12" s="146" t="s">
        <v>361</v>
      </c>
      <c r="BF12" s="146" t="s">
        <v>360</v>
      </c>
      <c r="BG12" s="146" t="s">
        <v>361</v>
      </c>
      <c r="BH12" s="146" t="s">
        <v>361</v>
      </c>
      <c r="BI12" s="146" t="s">
        <v>361</v>
      </c>
      <c r="BJ12" s="146" t="s">
        <v>361</v>
      </c>
      <c r="BK12" s="146" t="s">
        <v>361</v>
      </c>
      <c r="BL12" s="146" t="s">
        <v>360</v>
      </c>
      <c r="BM12" s="146" t="s">
        <v>361</v>
      </c>
      <c r="BN12" s="146" t="s">
        <v>361</v>
      </c>
      <c r="BO12" s="146" t="s">
        <v>361</v>
      </c>
      <c r="BP12" s="146" t="s">
        <v>361</v>
      </c>
      <c r="BQ12" s="146" t="s">
        <v>361</v>
      </c>
      <c r="BR12" s="146" t="s">
        <v>361</v>
      </c>
      <c r="BS12" s="146" t="s">
        <v>361</v>
      </c>
      <c r="BT12" s="146" t="s">
        <v>361</v>
      </c>
      <c r="BU12" s="146" t="s">
        <v>361</v>
      </c>
      <c r="BV12" s="146" t="s">
        <v>361</v>
      </c>
      <c r="BW12" s="146" t="s">
        <v>361</v>
      </c>
      <c r="BX12" s="146" t="s">
        <v>361</v>
      </c>
      <c r="BY12" s="146" t="s">
        <v>360</v>
      </c>
      <c r="BZ12" s="149" t="s">
        <v>361</v>
      </c>
    </row>
    <row r="13" spans="1:78" s="2" customFormat="1" x14ac:dyDescent="0.25">
      <c r="A13" s="181" t="s">
        <v>285</v>
      </c>
      <c r="B13" s="146" t="s">
        <v>361</v>
      </c>
      <c r="C13" s="146" t="s">
        <v>361</v>
      </c>
      <c r="D13" s="146" t="s">
        <v>361</v>
      </c>
      <c r="E13" s="146" t="s">
        <v>360</v>
      </c>
      <c r="F13" s="146" t="s">
        <v>360</v>
      </c>
      <c r="G13" s="146" t="s">
        <v>361</v>
      </c>
      <c r="H13" s="146" t="s">
        <v>360</v>
      </c>
      <c r="I13" s="146" t="s">
        <v>361</v>
      </c>
      <c r="J13" s="149" t="s">
        <v>361</v>
      </c>
      <c r="K13" s="181" t="s">
        <v>285</v>
      </c>
      <c r="L13" s="146" t="str">
        <f>LOOKUP($K13,PantheonList!$A$18:$A$139,PantheonList!$B$18:$B$139)</f>
        <v>Academics</v>
      </c>
      <c r="M13" s="146" t="str">
        <f>LOOKUP($K13,PantheonList!$A$18:$A$139,PantheonList!$C$18:$C$139)</f>
        <v>Art</v>
      </c>
      <c r="N13" s="146" t="str">
        <f>LOOKUP($K13,PantheonList!$A$18:$A$139,PantheonList!$D$18:$D$139)</f>
        <v>Fortitude</v>
      </c>
      <c r="O13" s="146" t="str">
        <f>LOOKUP($K13,PantheonList!$A$18:$A$139,PantheonList!$E$18:$E$139)</f>
        <v>Investigation</v>
      </c>
      <c r="P13" s="146" t="str">
        <f>LOOKUP($K13,PantheonList!$A$18:$A$139,PantheonList!$F$18:$F$139)</f>
        <v>Politics</v>
      </c>
      <c r="Q13" s="146" t="str">
        <f>LOOKUP($K13,PantheonList!$A$18:$A$139,PantheonList!$G$18:$G$139)</f>
        <v>Presence</v>
      </c>
      <c r="R13" s="146" t="str">
        <f t="shared" si="2"/>
        <v>Yes</v>
      </c>
      <c r="S13" s="146" t="str">
        <f t="shared" si="2"/>
        <v>No</v>
      </c>
      <c r="T13" s="146" t="str">
        <f t="shared" si="2"/>
        <v>Yes</v>
      </c>
      <c r="U13" s="146" t="str">
        <f t="shared" si="2"/>
        <v>No</v>
      </c>
      <c r="V13" s="146" t="str">
        <f t="shared" si="2"/>
        <v>No</v>
      </c>
      <c r="W13" s="146" t="str">
        <f t="shared" si="2"/>
        <v>No</v>
      </c>
      <c r="X13" s="146" t="str">
        <f t="shared" si="2"/>
        <v>No</v>
      </c>
      <c r="Y13" s="146" t="str">
        <f t="shared" si="2"/>
        <v>No</v>
      </c>
      <c r="Z13" s="146" t="str">
        <f t="shared" si="2"/>
        <v>No</v>
      </c>
      <c r="AA13" s="146" t="str">
        <f t="shared" si="2"/>
        <v>No</v>
      </c>
      <c r="AB13" s="146" t="str">
        <f t="shared" si="3"/>
        <v>Yes</v>
      </c>
      <c r="AC13" s="146" t="str">
        <f t="shared" si="3"/>
        <v>No</v>
      </c>
      <c r="AD13" s="146" t="str">
        <f t="shared" si="3"/>
        <v>Yes</v>
      </c>
      <c r="AE13" s="146" t="str">
        <f t="shared" si="3"/>
        <v>No</v>
      </c>
      <c r="AF13" s="146" t="str">
        <f t="shared" si="3"/>
        <v>No</v>
      </c>
      <c r="AG13" s="146" t="str">
        <f t="shared" si="3"/>
        <v>No</v>
      </c>
      <c r="AH13" s="146" t="str">
        <f t="shared" si="3"/>
        <v>No</v>
      </c>
      <c r="AI13" s="146" t="str">
        <f t="shared" si="3"/>
        <v>No</v>
      </c>
      <c r="AJ13" s="146" t="str">
        <f t="shared" si="3"/>
        <v>Yes</v>
      </c>
      <c r="AK13" s="146" t="str">
        <f t="shared" si="3"/>
        <v>Yes</v>
      </c>
      <c r="AL13" s="146" t="str">
        <f t="shared" si="3"/>
        <v>No</v>
      </c>
      <c r="AM13" s="146" t="str">
        <f t="shared" si="3"/>
        <v>No</v>
      </c>
      <c r="AN13" s="146" t="str">
        <f t="shared" si="3"/>
        <v>No</v>
      </c>
      <c r="AO13" s="149" t="str">
        <f t="shared" si="3"/>
        <v>No</v>
      </c>
      <c r="AP13" s="181" t="s">
        <v>285</v>
      </c>
      <c r="AQ13" s="146">
        <v>13</v>
      </c>
      <c r="AR13" s="146" t="s">
        <v>360</v>
      </c>
      <c r="AS13" s="146" t="s">
        <v>361</v>
      </c>
      <c r="AT13" s="146" t="s">
        <v>361</v>
      </c>
      <c r="AU13" s="146" t="s">
        <v>361</v>
      </c>
      <c r="AV13" s="146" t="s">
        <v>361</v>
      </c>
      <c r="AW13" s="146" t="s">
        <v>361</v>
      </c>
      <c r="AX13" s="146" t="s">
        <v>361</v>
      </c>
      <c r="AY13" s="146" t="s">
        <v>361</v>
      </c>
      <c r="AZ13" s="146" t="s">
        <v>361</v>
      </c>
      <c r="BA13" s="146" t="s">
        <v>361</v>
      </c>
      <c r="BB13" s="146" t="s">
        <v>361</v>
      </c>
      <c r="BC13" s="146" t="s">
        <v>361</v>
      </c>
      <c r="BD13" s="146" t="s">
        <v>361</v>
      </c>
      <c r="BE13" s="146" t="s">
        <v>361</v>
      </c>
      <c r="BF13" s="146" t="s">
        <v>361</v>
      </c>
      <c r="BG13" s="146" t="s">
        <v>360</v>
      </c>
      <c r="BH13" s="146" t="s">
        <v>361</v>
      </c>
      <c r="BI13" s="146" t="s">
        <v>361</v>
      </c>
      <c r="BJ13" s="146" t="s">
        <v>361</v>
      </c>
      <c r="BK13" s="146" t="s">
        <v>361</v>
      </c>
      <c r="BL13" s="146" t="s">
        <v>361</v>
      </c>
      <c r="BM13" s="146" t="s">
        <v>361</v>
      </c>
      <c r="BN13" s="146" t="s">
        <v>361</v>
      </c>
      <c r="BO13" s="146" t="s">
        <v>361</v>
      </c>
      <c r="BP13" s="146" t="s">
        <v>361</v>
      </c>
      <c r="BQ13" s="146" t="s">
        <v>361</v>
      </c>
      <c r="BR13" s="146" t="s">
        <v>361</v>
      </c>
      <c r="BS13" s="146" t="s">
        <v>361</v>
      </c>
      <c r="BT13" s="146" t="s">
        <v>361</v>
      </c>
      <c r="BU13" s="146" t="s">
        <v>361</v>
      </c>
      <c r="BV13" s="146" t="s">
        <v>360</v>
      </c>
      <c r="BW13" s="146" t="s">
        <v>361</v>
      </c>
      <c r="BX13" s="146" t="s">
        <v>361</v>
      </c>
      <c r="BY13" s="146" t="s">
        <v>361</v>
      </c>
      <c r="BZ13" s="149" t="s">
        <v>361</v>
      </c>
    </row>
    <row r="14" spans="1:78" s="2" customFormat="1" x14ac:dyDescent="0.25">
      <c r="A14" s="181" t="s">
        <v>331</v>
      </c>
      <c r="B14" s="146" t="s">
        <v>361</v>
      </c>
      <c r="C14" s="146" t="s">
        <v>361</v>
      </c>
      <c r="D14" s="146" t="s">
        <v>361</v>
      </c>
      <c r="E14" s="146" t="s">
        <v>361</v>
      </c>
      <c r="F14" s="146" t="s">
        <v>361</v>
      </c>
      <c r="G14" s="146" t="s">
        <v>360</v>
      </c>
      <c r="H14" s="146" t="s">
        <v>361</v>
      </c>
      <c r="I14" s="146" t="s">
        <v>360</v>
      </c>
      <c r="J14" s="149" t="s">
        <v>361</v>
      </c>
      <c r="K14" s="181" t="s">
        <v>331</v>
      </c>
      <c r="L14" s="146" t="str">
        <f>LOOKUP($K14,PantheonList!$A$18:$A$139,PantheonList!$B$18:$B$139)</f>
        <v>Animal Ken</v>
      </c>
      <c r="M14" s="146" t="str">
        <f>LOOKUP($K14,PantheonList!$A$18:$A$139,PantheonList!$C$18:$C$139)</f>
        <v>Awareness</v>
      </c>
      <c r="N14" s="146" t="str">
        <f>LOOKUP($K14,PantheonList!$A$18:$A$139,PantheonList!$D$18:$D$139)</f>
        <v>Craft</v>
      </c>
      <c r="O14" s="146" t="str">
        <f>LOOKUP($K14,PantheonList!$A$18:$A$139,PantheonList!$E$18:$E$139)</f>
        <v>Medicine</v>
      </c>
      <c r="P14" s="146" t="str">
        <f>LOOKUP($K14,PantheonList!$A$18:$A$139,PantheonList!$F$18:$F$139)</f>
        <v>Occult</v>
      </c>
      <c r="Q14" s="146" t="str">
        <f>LOOKUP($K14,PantheonList!$A$18:$A$139,PantheonList!$G$18:$G$139)</f>
        <v>Stealth</v>
      </c>
      <c r="R14" s="146" t="str">
        <f t="shared" si="2"/>
        <v>No</v>
      </c>
      <c r="S14" s="146" t="str">
        <f t="shared" si="2"/>
        <v>Yes</v>
      </c>
      <c r="T14" s="146" t="str">
        <f t="shared" si="2"/>
        <v>No</v>
      </c>
      <c r="U14" s="146" t="str">
        <f t="shared" si="2"/>
        <v>No</v>
      </c>
      <c r="V14" s="146" t="str">
        <f t="shared" si="2"/>
        <v>Yes</v>
      </c>
      <c r="W14" s="146" t="str">
        <f t="shared" si="2"/>
        <v>No</v>
      </c>
      <c r="X14" s="146" t="str">
        <f t="shared" si="2"/>
        <v>No</v>
      </c>
      <c r="Y14" s="146" t="str">
        <f t="shared" si="2"/>
        <v>No</v>
      </c>
      <c r="Z14" s="146" t="str">
        <f t="shared" si="2"/>
        <v>Yes</v>
      </c>
      <c r="AA14" s="146" t="str">
        <f t="shared" si="2"/>
        <v>No</v>
      </c>
      <c r="AB14" s="146" t="str">
        <f t="shared" si="3"/>
        <v>No</v>
      </c>
      <c r="AC14" s="146" t="str">
        <f t="shared" si="3"/>
        <v>No</v>
      </c>
      <c r="AD14" s="146" t="str">
        <f t="shared" si="3"/>
        <v>No</v>
      </c>
      <c r="AE14" s="146" t="str">
        <f t="shared" si="3"/>
        <v>No</v>
      </c>
      <c r="AF14" s="146" t="str">
        <f t="shared" si="3"/>
        <v>No</v>
      </c>
      <c r="AG14" s="146" t="str">
        <f t="shared" si="3"/>
        <v>Yes</v>
      </c>
      <c r="AH14" s="146" t="str">
        <f t="shared" si="3"/>
        <v>No</v>
      </c>
      <c r="AI14" s="146" t="str">
        <f t="shared" si="3"/>
        <v>Yes</v>
      </c>
      <c r="AJ14" s="146" t="str">
        <f t="shared" si="3"/>
        <v>No</v>
      </c>
      <c r="AK14" s="146" t="str">
        <f t="shared" si="3"/>
        <v>No</v>
      </c>
      <c r="AL14" s="146" t="str">
        <f t="shared" si="3"/>
        <v>No</v>
      </c>
      <c r="AM14" s="146" t="str">
        <f t="shared" si="3"/>
        <v>Yes</v>
      </c>
      <c r="AN14" s="146" t="str">
        <f t="shared" si="3"/>
        <v>No</v>
      </c>
      <c r="AO14" s="149" t="str">
        <f t="shared" si="3"/>
        <v>No</v>
      </c>
      <c r="AP14" s="181" t="s">
        <v>331</v>
      </c>
      <c r="AQ14" s="146">
        <v>14</v>
      </c>
      <c r="AR14" s="146" t="s">
        <v>360</v>
      </c>
      <c r="AS14" s="146" t="s">
        <v>361</v>
      </c>
      <c r="AT14" s="146" t="s">
        <v>361</v>
      </c>
      <c r="AU14" s="146" t="s">
        <v>360</v>
      </c>
      <c r="AV14" s="146" t="s">
        <v>361</v>
      </c>
      <c r="AW14" s="146" t="s">
        <v>360</v>
      </c>
      <c r="AX14" s="146" t="s">
        <v>361</v>
      </c>
      <c r="AY14" s="146" t="s">
        <v>361</v>
      </c>
      <c r="AZ14" s="146" t="s">
        <v>361</v>
      </c>
      <c r="BA14" s="146" t="s">
        <v>361</v>
      </c>
      <c r="BB14" s="146" t="s">
        <v>361</v>
      </c>
      <c r="BC14" s="146" t="s">
        <v>361</v>
      </c>
      <c r="BD14" s="146" t="s">
        <v>361</v>
      </c>
      <c r="BE14" s="146" t="s">
        <v>361</v>
      </c>
      <c r="BF14" s="146" t="s">
        <v>360</v>
      </c>
      <c r="BG14" s="146" t="s">
        <v>361</v>
      </c>
      <c r="BH14" s="146" t="s">
        <v>361</v>
      </c>
      <c r="BI14" s="146" t="s">
        <v>361</v>
      </c>
      <c r="BJ14" s="146" t="s">
        <v>361</v>
      </c>
      <c r="BK14" s="146" t="s">
        <v>361</v>
      </c>
      <c r="BL14" s="146" t="s">
        <v>361</v>
      </c>
      <c r="BM14" s="146" t="s">
        <v>360</v>
      </c>
      <c r="BN14" s="146" t="s">
        <v>361</v>
      </c>
      <c r="BO14" s="146" t="s">
        <v>361</v>
      </c>
      <c r="BP14" s="146" t="s">
        <v>361</v>
      </c>
      <c r="BQ14" s="146" t="s">
        <v>361</v>
      </c>
      <c r="BR14" s="146" t="s">
        <v>361</v>
      </c>
      <c r="BS14" s="146" t="s">
        <v>361</v>
      </c>
      <c r="BT14" s="146" t="s">
        <v>360</v>
      </c>
      <c r="BU14" s="146" t="s">
        <v>361</v>
      </c>
      <c r="BV14" s="146" t="s">
        <v>361</v>
      </c>
      <c r="BW14" s="146" t="s">
        <v>361</v>
      </c>
      <c r="BX14" s="146" t="s">
        <v>361</v>
      </c>
      <c r="BY14" s="146" t="s">
        <v>361</v>
      </c>
      <c r="BZ14" s="149" t="s">
        <v>361</v>
      </c>
    </row>
    <row r="15" spans="1:78" s="2" customFormat="1" x14ac:dyDescent="0.25">
      <c r="A15" s="181" t="s">
        <v>204</v>
      </c>
      <c r="B15" s="146" t="s">
        <v>361</v>
      </c>
      <c r="C15" s="146" t="s">
        <v>361</v>
      </c>
      <c r="D15" s="146" t="s">
        <v>361</v>
      </c>
      <c r="E15" s="146" t="s">
        <v>360</v>
      </c>
      <c r="F15" s="146" t="s">
        <v>361</v>
      </c>
      <c r="G15" s="146" t="s">
        <v>360</v>
      </c>
      <c r="H15" s="146" t="s">
        <v>361</v>
      </c>
      <c r="I15" s="146" t="s">
        <v>361</v>
      </c>
      <c r="J15" s="149" t="s">
        <v>361</v>
      </c>
      <c r="K15" s="181" t="s">
        <v>204</v>
      </c>
      <c r="L15" s="146" t="str">
        <f>LOOKUP($K15,PantheonList!$A$18:$A$139,PantheonList!$B$18:$B$139)</f>
        <v>Art</v>
      </c>
      <c r="M15" s="146" t="str">
        <f>LOOKUP($K15,PantheonList!$A$18:$A$139,PantheonList!$C$18:$C$139)</f>
        <v>Athletics</v>
      </c>
      <c r="N15" s="146" t="str">
        <f>LOOKUP($K15,PantheonList!$A$18:$A$139,PantheonList!$D$18:$D$139)</f>
        <v>Brawl</v>
      </c>
      <c r="O15" s="146" t="str">
        <f>LOOKUP($K15,PantheonList!$A$18:$A$139,PantheonList!$E$18:$E$139)</f>
        <v>Melee</v>
      </c>
      <c r="P15" s="146" t="str">
        <f>LOOKUP($K15,PantheonList!$A$18:$A$139,PantheonList!$F$18:$F$139)</f>
        <v>Marksmanship</v>
      </c>
      <c r="Q15" s="146" t="str">
        <f>LOOKUP($K15,PantheonList!$A$18:$A$139,PantheonList!$G$18:$G$139)</f>
        <v>Presence</v>
      </c>
      <c r="R15" s="146" t="str">
        <f t="shared" si="2"/>
        <v>No</v>
      </c>
      <c r="S15" s="146" t="str">
        <f t="shared" si="2"/>
        <v>No</v>
      </c>
      <c r="T15" s="146" t="str">
        <f t="shared" si="2"/>
        <v>Yes</v>
      </c>
      <c r="U15" s="146" t="str">
        <f t="shared" si="2"/>
        <v>Yes</v>
      </c>
      <c r="V15" s="146" t="str">
        <f t="shared" si="2"/>
        <v>No</v>
      </c>
      <c r="W15" s="146" t="str">
        <f t="shared" si="2"/>
        <v>Yes</v>
      </c>
      <c r="X15" s="146" t="str">
        <f t="shared" si="2"/>
        <v>No</v>
      </c>
      <c r="Y15" s="146" t="str">
        <f t="shared" si="2"/>
        <v>No</v>
      </c>
      <c r="Z15" s="146" t="str">
        <f t="shared" si="2"/>
        <v>No</v>
      </c>
      <c r="AA15" s="146" t="str">
        <f t="shared" si="2"/>
        <v>No</v>
      </c>
      <c r="AB15" s="146" t="str">
        <f t="shared" si="3"/>
        <v>No</v>
      </c>
      <c r="AC15" s="146" t="str">
        <f t="shared" si="3"/>
        <v>No</v>
      </c>
      <c r="AD15" s="146" t="str">
        <f t="shared" si="3"/>
        <v>No</v>
      </c>
      <c r="AE15" s="146" t="str">
        <f t="shared" si="3"/>
        <v>No</v>
      </c>
      <c r="AF15" s="146" t="str">
        <f t="shared" si="3"/>
        <v>Yes</v>
      </c>
      <c r="AG15" s="146" t="str">
        <f t="shared" si="3"/>
        <v>No</v>
      </c>
      <c r="AH15" s="146" t="str">
        <f t="shared" si="3"/>
        <v>Yes</v>
      </c>
      <c r="AI15" s="146" t="str">
        <f t="shared" si="3"/>
        <v>No</v>
      </c>
      <c r="AJ15" s="146" t="str">
        <f t="shared" si="3"/>
        <v>No</v>
      </c>
      <c r="AK15" s="146" t="str">
        <f t="shared" si="3"/>
        <v>Yes</v>
      </c>
      <c r="AL15" s="146" t="str">
        <f t="shared" si="3"/>
        <v>No</v>
      </c>
      <c r="AM15" s="146" t="str">
        <f t="shared" si="3"/>
        <v>No</v>
      </c>
      <c r="AN15" s="146" t="str">
        <f t="shared" si="3"/>
        <v>No</v>
      </c>
      <c r="AO15" s="149" t="str">
        <f t="shared" si="3"/>
        <v>No</v>
      </c>
      <c r="AP15" s="181" t="s">
        <v>204</v>
      </c>
      <c r="AQ15" s="146">
        <v>15</v>
      </c>
      <c r="AR15" s="146" t="s">
        <v>361</v>
      </c>
      <c r="AS15" s="146" t="s">
        <v>361</v>
      </c>
      <c r="AT15" s="146" t="s">
        <v>361</v>
      </c>
      <c r="AU15" s="146" t="s">
        <v>361</v>
      </c>
      <c r="AV15" s="146" t="s">
        <v>361</v>
      </c>
      <c r="AW15" s="146" t="s">
        <v>361</v>
      </c>
      <c r="AX15" s="146" t="s">
        <v>361</v>
      </c>
      <c r="AY15" s="146" t="s">
        <v>361</v>
      </c>
      <c r="AZ15" s="146" t="s">
        <v>361</v>
      </c>
      <c r="BA15" s="146" t="s">
        <v>361</v>
      </c>
      <c r="BB15" s="146" t="s">
        <v>361</v>
      </c>
      <c r="BC15" s="146" t="s">
        <v>361</v>
      </c>
      <c r="BD15" s="146" t="s">
        <v>361</v>
      </c>
      <c r="BE15" s="146" t="s">
        <v>360</v>
      </c>
      <c r="BF15" s="146" t="s">
        <v>361</v>
      </c>
      <c r="BG15" s="146" t="s">
        <v>361</v>
      </c>
      <c r="BH15" s="146" t="s">
        <v>361</v>
      </c>
      <c r="BI15" s="146" t="s">
        <v>361</v>
      </c>
      <c r="BJ15" s="146" t="s">
        <v>361</v>
      </c>
      <c r="BK15" s="146" t="s">
        <v>360</v>
      </c>
      <c r="BL15" s="146" t="s">
        <v>361</v>
      </c>
      <c r="BM15" s="146" t="s">
        <v>361</v>
      </c>
      <c r="BN15" s="146" t="s">
        <v>361</v>
      </c>
      <c r="BO15" s="146" t="s">
        <v>361</v>
      </c>
      <c r="BP15" s="146" t="s">
        <v>361</v>
      </c>
      <c r="BQ15" s="146" t="s">
        <v>361</v>
      </c>
      <c r="BR15" s="146" t="s">
        <v>361</v>
      </c>
      <c r="BS15" s="146" t="s">
        <v>361</v>
      </c>
      <c r="BT15" s="146" t="s">
        <v>361</v>
      </c>
      <c r="BU15" s="146" t="s">
        <v>361</v>
      </c>
      <c r="BV15" s="146" t="s">
        <v>360</v>
      </c>
      <c r="BW15" s="146" t="s">
        <v>361</v>
      </c>
      <c r="BX15" s="146" t="s">
        <v>361</v>
      </c>
      <c r="BY15" s="146" t="s">
        <v>361</v>
      </c>
      <c r="BZ15" s="149" t="s">
        <v>361</v>
      </c>
    </row>
    <row r="16" spans="1:78" s="2" customFormat="1" x14ac:dyDescent="0.25">
      <c r="A16" s="181" t="s">
        <v>276</v>
      </c>
      <c r="B16" s="146" t="s">
        <v>361</v>
      </c>
      <c r="C16" s="146" t="s">
        <v>361</v>
      </c>
      <c r="D16" s="146" t="s">
        <v>361</v>
      </c>
      <c r="E16" s="146" t="s">
        <v>360</v>
      </c>
      <c r="F16" s="146" t="s">
        <v>361</v>
      </c>
      <c r="G16" s="146" t="s">
        <v>361</v>
      </c>
      <c r="H16" s="146" t="s">
        <v>361</v>
      </c>
      <c r="I16" s="146" t="s">
        <v>361</v>
      </c>
      <c r="J16" s="149" t="s">
        <v>361</v>
      </c>
      <c r="K16" s="181" t="s">
        <v>276</v>
      </c>
      <c r="L16" s="146" t="str">
        <f>LOOKUP($K16,PantheonList!$A$18:$A$139,PantheonList!$B$18:$B$139)</f>
        <v>Command</v>
      </c>
      <c r="M16" s="146" t="str">
        <f>LOOKUP($K16,PantheonList!$A$18:$A$139,PantheonList!$C$18:$C$139)</f>
        <v>Fortitude</v>
      </c>
      <c r="N16" s="146" t="str">
        <f>LOOKUP($K16,PantheonList!$A$18:$A$139,PantheonList!$D$18:$D$139)</f>
        <v>Integrity</v>
      </c>
      <c r="O16" s="146" t="str">
        <f>LOOKUP($K16,PantheonList!$A$18:$A$139,PantheonList!$E$18:$E$139)</f>
        <v>Occult</v>
      </c>
      <c r="P16" s="146" t="str">
        <f>LOOKUP($K16,PantheonList!$A$18:$A$139,PantheonList!$F$18:$F$139)</f>
        <v>Politics</v>
      </c>
      <c r="Q16" s="146" t="str">
        <f>LOOKUP($K16,PantheonList!$A$18:$A$139,PantheonList!$G$18:$G$139)</f>
        <v>Presence</v>
      </c>
      <c r="R16" s="146" t="str">
        <f t="shared" si="2"/>
        <v>No</v>
      </c>
      <c r="S16" s="146" t="str">
        <f t="shared" si="2"/>
        <v>No</v>
      </c>
      <c r="T16" s="146" t="str">
        <f t="shared" si="2"/>
        <v>No</v>
      </c>
      <c r="U16" s="146" t="str">
        <f t="shared" si="2"/>
        <v>No</v>
      </c>
      <c r="V16" s="146" t="str">
        <f t="shared" si="2"/>
        <v>No</v>
      </c>
      <c r="W16" s="146" t="str">
        <f t="shared" si="2"/>
        <v>No</v>
      </c>
      <c r="X16" s="146" t="str">
        <f t="shared" si="2"/>
        <v>Yes</v>
      </c>
      <c r="Y16" s="146" t="str">
        <f t="shared" si="2"/>
        <v>No</v>
      </c>
      <c r="Z16" s="146" t="str">
        <f t="shared" si="2"/>
        <v>No</v>
      </c>
      <c r="AA16" s="146" t="str">
        <f t="shared" si="2"/>
        <v>No</v>
      </c>
      <c r="AB16" s="146" t="str">
        <f t="shared" si="3"/>
        <v>Yes</v>
      </c>
      <c r="AC16" s="146" t="str">
        <f t="shared" si="3"/>
        <v>Yes</v>
      </c>
      <c r="AD16" s="146" t="str">
        <f t="shared" si="3"/>
        <v>No</v>
      </c>
      <c r="AE16" s="146" t="str">
        <f t="shared" si="3"/>
        <v>No</v>
      </c>
      <c r="AF16" s="146" t="str">
        <f t="shared" si="3"/>
        <v>No</v>
      </c>
      <c r="AG16" s="146" t="str">
        <f t="shared" si="3"/>
        <v>No</v>
      </c>
      <c r="AH16" s="146" t="str">
        <f t="shared" si="3"/>
        <v>No</v>
      </c>
      <c r="AI16" s="146" t="str">
        <f t="shared" si="3"/>
        <v>Yes</v>
      </c>
      <c r="AJ16" s="146" t="str">
        <f t="shared" si="3"/>
        <v>Yes</v>
      </c>
      <c r="AK16" s="146" t="str">
        <f t="shared" si="3"/>
        <v>Yes</v>
      </c>
      <c r="AL16" s="146" t="str">
        <f t="shared" si="3"/>
        <v>No</v>
      </c>
      <c r="AM16" s="146" t="str">
        <f t="shared" si="3"/>
        <v>No</v>
      </c>
      <c r="AN16" s="146" t="str">
        <f t="shared" si="3"/>
        <v>No</v>
      </c>
      <c r="AO16" s="149" t="str">
        <f t="shared" si="3"/>
        <v>No</v>
      </c>
      <c r="AP16" s="181" t="s">
        <v>276</v>
      </c>
      <c r="AQ16" s="146">
        <v>16</v>
      </c>
      <c r="AR16" s="146" t="s">
        <v>361</v>
      </c>
      <c r="AS16" s="146" t="s">
        <v>361</v>
      </c>
      <c r="AT16" s="146" t="s">
        <v>361</v>
      </c>
      <c r="AU16" s="146" t="s">
        <v>361</v>
      </c>
      <c r="AV16" s="146" t="s">
        <v>360</v>
      </c>
      <c r="AW16" s="146" t="s">
        <v>361</v>
      </c>
      <c r="AX16" s="146" t="s">
        <v>360</v>
      </c>
      <c r="AY16" s="146" t="s">
        <v>360</v>
      </c>
      <c r="AZ16" s="146" t="s">
        <v>360</v>
      </c>
      <c r="BA16" s="146" t="s">
        <v>361</v>
      </c>
      <c r="BB16" s="146" t="s">
        <v>361</v>
      </c>
      <c r="BC16" s="146" t="s">
        <v>361</v>
      </c>
      <c r="BD16" s="146" t="s">
        <v>361</v>
      </c>
      <c r="BE16" s="146" t="s">
        <v>361</v>
      </c>
      <c r="BF16" s="146" t="s">
        <v>360</v>
      </c>
      <c r="BG16" s="146" t="s">
        <v>361</v>
      </c>
      <c r="BH16" s="146" t="s">
        <v>361</v>
      </c>
      <c r="BI16" s="146" t="s">
        <v>361</v>
      </c>
      <c r="BJ16" s="146" t="s">
        <v>361</v>
      </c>
      <c r="BK16" s="146" t="s">
        <v>361</v>
      </c>
      <c r="BL16" s="146" t="s">
        <v>361</v>
      </c>
      <c r="BM16" s="146" t="s">
        <v>361</v>
      </c>
      <c r="BN16" s="146" t="s">
        <v>361</v>
      </c>
      <c r="BO16" s="146" t="s">
        <v>361</v>
      </c>
      <c r="BP16" s="146" t="s">
        <v>361</v>
      </c>
      <c r="BQ16" s="146" t="s">
        <v>360</v>
      </c>
      <c r="BR16" s="146" t="s">
        <v>361</v>
      </c>
      <c r="BS16" s="146" t="s">
        <v>361</v>
      </c>
      <c r="BT16" s="146" t="s">
        <v>361</v>
      </c>
      <c r="BU16" s="146" t="s">
        <v>361</v>
      </c>
      <c r="BV16" s="146" t="s">
        <v>361</v>
      </c>
      <c r="BW16" s="146" t="s">
        <v>361</v>
      </c>
      <c r="BX16" s="146" t="s">
        <v>361</v>
      </c>
      <c r="BY16" s="146" t="s">
        <v>361</v>
      </c>
      <c r="BZ16" s="149" t="s">
        <v>361</v>
      </c>
    </row>
    <row r="17" spans="1:78" s="2" customFormat="1" x14ac:dyDescent="0.25">
      <c r="A17" s="181" t="s">
        <v>286</v>
      </c>
      <c r="B17" s="146" t="s">
        <v>361</v>
      </c>
      <c r="C17" s="146" t="s">
        <v>360</v>
      </c>
      <c r="D17" s="146" t="s">
        <v>361</v>
      </c>
      <c r="E17" s="146" t="s">
        <v>360</v>
      </c>
      <c r="F17" s="146" t="s">
        <v>361</v>
      </c>
      <c r="G17" s="146" t="s">
        <v>361</v>
      </c>
      <c r="H17" s="146" t="s">
        <v>360</v>
      </c>
      <c r="I17" s="146" t="s">
        <v>361</v>
      </c>
      <c r="J17" s="149" t="s">
        <v>360</v>
      </c>
      <c r="K17" s="181" t="s">
        <v>286</v>
      </c>
      <c r="L17" s="146" t="str">
        <f>LOOKUP($K17,PantheonList!$A$18:$A$139,PantheonList!$B$18:$B$139)</f>
        <v>Athletics</v>
      </c>
      <c r="M17" s="146" t="str">
        <f>LOOKUP($K17,PantheonList!$A$18:$A$139,PantheonList!$C$18:$C$139)</f>
        <v>Awareness</v>
      </c>
      <c r="N17" s="146" t="str">
        <f>LOOKUP($K17,PantheonList!$A$18:$A$139,PantheonList!$D$18:$D$139)</f>
        <v>Brawl</v>
      </c>
      <c r="O17" s="146" t="str">
        <f>LOOKUP($K17,PantheonList!$A$18:$A$139,PantheonList!$E$18:$E$139)</f>
        <v>Larceny</v>
      </c>
      <c r="P17" s="146" t="str">
        <f>LOOKUP($K17,PantheonList!$A$18:$A$139,PantheonList!$F$18:$F$139)</f>
        <v>Stealth</v>
      </c>
      <c r="Q17" s="146" t="str">
        <f>LOOKUP($K17,PantheonList!$A$18:$A$139,PantheonList!$G$18:$G$139)</f>
        <v>Survival</v>
      </c>
      <c r="R17" s="146" t="str">
        <f t="shared" si="2"/>
        <v>No</v>
      </c>
      <c r="S17" s="146" t="str">
        <f t="shared" si="2"/>
        <v>No</v>
      </c>
      <c r="T17" s="146" t="str">
        <f t="shared" si="2"/>
        <v>No</v>
      </c>
      <c r="U17" s="146" t="str">
        <f t="shared" si="2"/>
        <v>Yes</v>
      </c>
      <c r="V17" s="146" t="str">
        <f t="shared" si="2"/>
        <v>Yes</v>
      </c>
      <c r="W17" s="146" t="str">
        <f t="shared" si="2"/>
        <v>Yes</v>
      </c>
      <c r="X17" s="146" t="str">
        <f t="shared" si="2"/>
        <v>No</v>
      </c>
      <c r="Y17" s="146" t="str">
        <f t="shared" si="2"/>
        <v>No</v>
      </c>
      <c r="Z17" s="146" t="str">
        <f t="shared" si="2"/>
        <v>No</v>
      </c>
      <c r="AA17" s="146" t="str">
        <f t="shared" si="2"/>
        <v>No</v>
      </c>
      <c r="AB17" s="146" t="str">
        <f t="shared" si="3"/>
        <v>No</v>
      </c>
      <c r="AC17" s="146" t="str">
        <f t="shared" si="3"/>
        <v>No</v>
      </c>
      <c r="AD17" s="146" t="str">
        <f t="shared" si="3"/>
        <v>No</v>
      </c>
      <c r="AE17" s="146" t="str">
        <f t="shared" si="3"/>
        <v>Yes</v>
      </c>
      <c r="AF17" s="146" t="str">
        <f t="shared" si="3"/>
        <v>No</v>
      </c>
      <c r="AG17" s="146" t="str">
        <f t="shared" si="3"/>
        <v>No</v>
      </c>
      <c r="AH17" s="146" t="str">
        <f t="shared" si="3"/>
        <v>No</v>
      </c>
      <c r="AI17" s="146" t="str">
        <f t="shared" si="3"/>
        <v>No</v>
      </c>
      <c r="AJ17" s="146" t="str">
        <f t="shared" si="3"/>
        <v>No</v>
      </c>
      <c r="AK17" s="146" t="str">
        <f t="shared" si="3"/>
        <v>No</v>
      </c>
      <c r="AL17" s="146" t="str">
        <f t="shared" si="3"/>
        <v>No</v>
      </c>
      <c r="AM17" s="146" t="str">
        <f t="shared" si="3"/>
        <v>Yes</v>
      </c>
      <c r="AN17" s="146" t="str">
        <f t="shared" si="3"/>
        <v>Yes</v>
      </c>
      <c r="AO17" s="149" t="str">
        <f t="shared" si="3"/>
        <v>No</v>
      </c>
      <c r="AP17" s="181" t="s">
        <v>286</v>
      </c>
      <c r="AQ17" s="146">
        <v>17</v>
      </c>
      <c r="AR17" s="146" t="s">
        <v>360</v>
      </c>
      <c r="AS17" s="146" t="s">
        <v>361</v>
      </c>
      <c r="AT17" s="146" t="s">
        <v>361</v>
      </c>
      <c r="AU17" s="146" t="s">
        <v>361</v>
      </c>
      <c r="AV17" s="146" t="s">
        <v>361</v>
      </c>
      <c r="AW17" s="146" t="s">
        <v>361</v>
      </c>
      <c r="AX17" s="146" t="s">
        <v>361</v>
      </c>
      <c r="AY17" s="146" t="s">
        <v>361</v>
      </c>
      <c r="AZ17" s="146" t="s">
        <v>361</v>
      </c>
      <c r="BA17" s="146" t="s">
        <v>361</v>
      </c>
      <c r="BB17" s="146" t="s">
        <v>361</v>
      </c>
      <c r="BC17" s="146" t="s">
        <v>361</v>
      </c>
      <c r="BD17" s="146" t="s">
        <v>361</v>
      </c>
      <c r="BE17" s="146" t="s">
        <v>361</v>
      </c>
      <c r="BF17" s="146" t="s">
        <v>361</v>
      </c>
      <c r="BG17" s="146" t="s">
        <v>360</v>
      </c>
      <c r="BH17" s="146" t="s">
        <v>361</v>
      </c>
      <c r="BI17" s="146" t="s">
        <v>361</v>
      </c>
      <c r="BJ17" s="146" t="s">
        <v>361</v>
      </c>
      <c r="BK17" s="146" t="s">
        <v>361</v>
      </c>
      <c r="BL17" s="146" t="s">
        <v>361</v>
      </c>
      <c r="BM17" s="146" t="s">
        <v>361</v>
      </c>
      <c r="BN17" s="146" t="s">
        <v>360</v>
      </c>
      <c r="BO17" s="146" t="s">
        <v>361</v>
      </c>
      <c r="BP17" s="146" t="s">
        <v>360</v>
      </c>
      <c r="BQ17" s="146" t="s">
        <v>361</v>
      </c>
      <c r="BR17" s="146" t="s">
        <v>361</v>
      </c>
      <c r="BS17" s="146" t="s">
        <v>361</v>
      </c>
      <c r="BT17" s="146" t="s">
        <v>361</v>
      </c>
      <c r="BU17" s="146" t="s">
        <v>361</v>
      </c>
      <c r="BV17" s="146" t="s">
        <v>360</v>
      </c>
      <c r="BW17" s="146" t="s">
        <v>361</v>
      </c>
      <c r="BX17" s="146" t="s">
        <v>361</v>
      </c>
      <c r="BY17" s="146" t="s">
        <v>361</v>
      </c>
      <c r="BZ17" s="149" t="s">
        <v>361</v>
      </c>
    </row>
    <row r="18" spans="1:78" s="2" customFormat="1" x14ac:dyDescent="0.25">
      <c r="A18" s="181" t="s">
        <v>315</v>
      </c>
      <c r="B18" s="146" t="s">
        <v>361</v>
      </c>
      <c r="C18" s="146" t="s">
        <v>360</v>
      </c>
      <c r="D18" s="146" t="s">
        <v>361</v>
      </c>
      <c r="E18" s="146" t="s">
        <v>361</v>
      </c>
      <c r="F18" s="146" t="s">
        <v>361</v>
      </c>
      <c r="G18" s="146" t="s">
        <v>361</v>
      </c>
      <c r="H18" s="146" t="s">
        <v>361</v>
      </c>
      <c r="I18" s="146" t="s">
        <v>360</v>
      </c>
      <c r="J18" s="149" t="s">
        <v>361</v>
      </c>
      <c r="K18" s="181" t="s">
        <v>315</v>
      </c>
      <c r="L18" s="146" t="str">
        <f>LOOKUP($K18,PantheonList!$A$18:$A$139,PantheonList!$B$18:$B$139)</f>
        <v>Academics</v>
      </c>
      <c r="M18" s="146" t="str">
        <f>LOOKUP($K18,PantheonList!$A$18:$A$139,PantheonList!$C$18:$C$139)</f>
        <v>Art</v>
      </c>
      <c r="N18" s="146" t="str">
        <f>LOOKUP($K18,PantheonList!$A$18:$A$139,PantheonList!$D$18:$D$139)</f>
        <v>Craft</v>
      </c>
      <c r="O18" s="146" t="str">
        <f>LOOKUP($K18,PantheonList!$A$18:$A$139,PantheonList!$E$18:$E$139)</f>
        <v>Empathy</v>
      </c>
      <c r="P18" s="146" t="str">
        <f>LOOKUP($K18,PantheonList!$A$18:$A$139,PantheonList!$F$18:$F$139)</f>
        <v>Medicine</v>
      </c>
      <c r="Q18" s="146" t="str">
        <f>LOOKUP($K18,PantheonList!$A$18:$A$139,PantheonList!$G$18:$G$139)</f>
        <v>Politics</v>
      </c>
      <c r="R18" s="146" t="str">
        <f t="shared" si="2"/>
        <v>Yes</v>
      </c>
      <c r="S18" s="146" t="str">
        <f t="shared" si="2"/>
        <v>No</v>
      </c>
      <c r="T18" s="146" t="str">
        <f t="shared" si="2"/>
        <v>Yes</v>
      </c>
      <c r="U18" s="146" t="str">
        <f t="shared" si="2"/>
        <v>No</v>
      </c>
      <c r="V18" s="146" t="str">
        <f t="shared" si="2"/>
        <v>No</v>
      </c>
      <c r="W18" s="146" t="str">
        <f t="shared" si="2"/>
        <v>No</v>
      </c>
      <c r="X18" s="146" t="str">
        <f t="shared" si="2"/>
        <v>No</v>
      </c>
      <c r="Y18" s="146" t="str">
        <f t="shared" si="2"/>
        <v>No</v>
      </c>
      <c r="Z18" s="146" t="str">
        <f t="shared" si="2"/>
        <v>Yes</v>
      </c>
      <c r="AA18" s="146" t="str">
        <f t="shared" si="2"/>
        <v>Yes</v>
      </c>
      <c r="AB18" s="146" t="str">
        <f t="shared" si="3"/>
        <v>No</v>
      </c>
      <c r="AC18" s="146" t="str">
        <f t="shared" si="3"/>
        <v>No</v>
      </c>
      <c r="AD18" s="146" t="str">
        <f t="shared" si="3"/>
        <v>No</v>
      </c>
      <c r="AE18" s="146" t="str">
        <f t="shared" si="3"/>
        <v>No</v>
      </c>
      <c r="AF18" s="146" t="str">
        <f t="shared" si="3"/>
        <v>No</v>
      </c>
      <c r="AG18" s="146" t="str">
        <f t="shared" si="3"/>
        <v>Yes</v>
      </c>
      <c r="AH18" s="146" t="str">
        <f t="shared" si="3"/>
        <v>No</v>
      </c>
      <c r="AI18" s="146" t="str">
        <f t="shared" si="3"/>
        <v>No</v>
      </c>
      <c r="AJ18" s="146" t="str">
        <f t="shared" si="3"/>
        <v>Yes</v>
      </c>
      <c r="AK18" s="146" t="str">
        <f t="shared" si="3"/>
        <v>No</v>
      </c>
      <c r="AL18" s="146" t="str">
        <f t="shared" si="3"/>
        <v>No</v>
      </c>
      <c r="AM18" s="146" t="str">
        <f t="shared" si="3"/>
        <v>No</v>
      </c>
      <c r="AN18" s="146" t="str">
        <f t="shared" si="3"/>
        <v>No</v>
      </c>
      <c r="AO18" s="149" t="str">
        <f t="shared" si="3"/>
        <v>No</v>
      </c>
      <c r="AP18" s="181" t="s">
        <v>315</v>
      </c>
      <c r="AQ18" s="146">
        <v>18</v>
      </c>
      <c r="AR18" s="146" t="s">
        <v>361</v>
      </c>
      <c r="AS18" s="146" t="s">
        <v>361</v>
      </c>
      <c r="AT18" s="146" t="s">
        <v>361</v>
      </c>
      <c r="AU18" s="146" t="s">
        <v>361</v>
      </c>
      <c r="AV18" s="146" t="s">
        <v>361</v>
      </c>
      <c r="AW18" s="146" t="s">
        <v>361</v>
      </c>
      <c r="AX18" s="146" t="s">
        <v>361</v>
      </c>
      <c r="AY18" s="146" t="s">
        <v>361</v>
      </c>
      <c r="AZ18" s="146" t="s">
        <v>361</v>
      </c>
      <c r="BA18" s="146" t="s">
        <v>361</v>
      </c>
      <c r="BB18" s="146" t="s">
        <v>361</v>
      </c>
      <c r="BC18" s="146" t="s">
        <v>361</v>
      </c>
      <c r="BD18" s="146" t="s">
        <v>361</v>
      </c>
      <c r="BE18" s="146" t="s">
        <v>361</v>
      </c>
      <c r="BF18" s="146" t="s">
        <v>360</v>
      </c>
      <c r="BG18" s="146" t="s">
        <v>361</v>
      </c>
      <c r="BH18" s="146" t="s">
        <v>361</v>
      </c>
      <c r="BI18" s="146" t="s">
        <v>360</v>
      </c>
      <c r="BJ18" s="146" t="s">
        <v>361</v>
      </c>
      <c r="BK18" s="146" t="s">
        <v>361</v>
      </c>
      <c r="BL18" s="146" t="s">
        <v>361</v>
      </c>
      <c r="BM18" s="146" t="s">
        <v>361</v>
      </c>
      <c r="BN18" s="146" t="s">
        <v>361</v>
      </c>
      <c r="BO18" s="146" t="s">
        <v>361</v>
      </c>
      <c r="BP18" s="146" t="s">
        <v>361</v>
      </c>
      <c r="BQ18" s="146" t="s">
        <v>361</v>
      </c>
      <c r="BR18" s="146" t="s">
        <v>361</v>
      </c>
      <c r="BS18" s="146" t="s">
        <v>361</v>
      </c>
      <c r="BT18" s="146" t="s">
        <v>361</v>
      </c>
      <c r="BU18" s="146" t="s">
        <v>361</v>
      </c>
      <c r="BV18" s="146" t="s">
        <v>361</v>
      </c>
      <c r="BW18" s="146" t="s">
        <v>361</v>
      </c>
      <c r="BX18" s="146" t="s">
        <v>361</v>
      </c>
      <c r="BY18" s="146" t="s">
        <v>361</v>
      </c>
      <c r="BZ18" s="149" t="s">
        <v>361</v>
      </c>
    </row>
    <row r="19" spans="1:78" s="2" customFormat="1" x14ac:dyDescent="0.25">
      <c r="A19" s="181" t="s">
        <v>250</v>
      </c>
      <c r="B19" s="146" t="s">
        <v>361</v>
      </c>
      <c r="C19" s="146" t="s">
        <v>361</v>
      </c>
      <c r="D19" s="146" t="s">
        <v>361</v>
      </c>
      <c r="E19" s="146" t="s">
        <v>361</v>
      </c>
      <c r="F19" s="146" t="s">
        <v>361</v>
      </c>
      <c r="G19" s="146" t="s">
        <v>361</v>
      </c>
      <c r="H19" s="146" t="s">
        <v>360</v>
      </c>
      <c r="I19" s="146" t="s">
        <v>360</v>
      </c>
      <c r="J19" s="149" t="s">
        <v>361</v>
      </c>
      <c r="K19" s="181" t="s">
        <v>250</v>
      </c>
      <c r="L19" s="146" t="str">
        <f>LOOKUP($K19,PantheonList!$A$18:$A$139,PantheonList!$B$18:$B$139)</f>
        <v>Academics</v>
      </c>
      <c r="M19" s="146" t="str">
        <f>LOOKUP($K19,PantheonList!$A$18:$A$139,PantheonList!$C$18:$C$139)</f>
        <v>Art</v>
      </c>
      <c r="N19" s="146" t="str">
        <f>LOOKUP($K19,PantheonList!$A$18:$A$139,PantheonList!$D$18:$D$139)</f>
        <v>Craft</v>
      </c>
      <c r="O19" s="146" t="str">
        <f>LOOKUP($K19,PantheonList!$A$18:$A$139,PantheonList!$E$18:$E$139)</f>
        <v>Empathy</v>
      </c>
      <c r="P19" s="146" t="str">
        <f>LOOKUP($K19,PantheonList!$A$18:$A$139,PantheonList!$F$18:$F$139)</f>
        <v>Integrity</v>
      </c>
      <c r="Q19" s="146" t="str">
        <f>LOOKUP($K19,PantheonList!$A$18:$A$139,PantheonList!$G$18:$G$139)</f>
        <v>Science</v>
      </c>
      <c r="R19" s="146" t="str">
        <f t="shared" si="2"/>
        <v>Yes</v>
      </c>
      <c r="S19" s="146" t="str">
        <f t="shared" si="2"/>
        <v>No</v>
      </c>
      <c r="T19" s="146" t="str">
        <f t="shared" si="2"/>
        <v>Yes</v>
      </c>
      <c r="U19" s="146" t="str">
        <f t="shared" si="2"/>
        <v>No</v>
      </c>
      <c r="V19" s="146" t="str">
        <f t="shared" si="2"/>
        <v>No</v>
      </c>
      <c r="W19" s="146" t="str">
        <f t="shared" si="2"/>
        <v>No</v>
      </c>
      <c r="X19" s="146" t="str">
        <f t="shared" si="2"/>
        <v>No</v>
      </c>
      <c r="Y19" s="146" t="str">
        <f t="shared" si="2"/>
        <v>No</v>
      </c>
      <c r="Z19" s="146" t="str">
        <f t="shared" si="2"/>
        <v>Yes</v>
      </c>
      <c r="AA19" s="146" t="str">
        <f t="shared" si="2"/>
        <v>Yes</v>
      </c>
      <c r="AB19" s="146" t="str">
        <f t="shared" si="3"/>
        <v>No</v>
      </c>
      <c r="AC19" s="146" t="str">
        <f t="shared" si="3"/>
        <v>Yes</v>
      </c>
      <c r="AD19" s="146" t="str">
        <f t="shared" si="3"/>
        <v>No</v>
      </c>
      <c r="AE19" s="146" t="str">
        <f t="shared" si="3"/>
        <v>No</v>
      </c>
      <c r="AF19" s="146" t="str">
        <f t="shared" si="3"/>
        <v>No</v>
      </c>
      <c r="AG19" s="146" t="str">
        <f t="shared" si="3"/>
        <v>No</v>
      </c>
      <c r="AH19" s="146" t="str">
        <f t="shared" si="3"/>
        <v>No</v>
      </c>
      <c r="AI19" s="146" t="str">
        <f t="shared" si="3"/>
        <v>No</v>
      </c>
      <c r="AJ19" s="146" t="str">
        <f t="shared" si="3"/>
        <v>No</v>
      </c>
      <c r="AK19" s="146" t="str">
        <f t="shared" si="3"/>
        <v>No</v>
      </c>
      <c r="AL19" s="146" t="str">
        <f t="shared" si="3"/>
        <v>Yes</v>
      </c>
      <c r="AM19" s="146" t="str">
        <f t="shared" si="3"/>
        <v>No</v>
      </c>
      <c r="AN19" s="146" t="str">
        <f t="shared" si="3"/>
        <v>No</v>
      </c>
      <c r="AO19" s="149" t="str">
        <f t="shared" si="3"/>
        <v>No</v>
      </c>
      <c r="AP19" s="181" t="s">
        <v>250</v>
      </c>
      <c r="AQ19" s="146">
        <v>19</v>
      </c>
      <c r="AR19" s="146" t="s">
        <v>361</v>
      </c>
      <c r="AS19" s="146" t="s">
        <v>361</v>
      </c>
      <c r="AT19" s="146" t="s">
        <v>361</v>
      </c>
      <c r="AU19" s="146" t="s">
        <v>361</v>
      </c>
      <c r="AV19" s="146" t="s">
        <v>361</v>
      </c>
      <c r="AW19" s="146" t="s">
        <v>361</v>
      </c>
      <c r="AX19" s="146" t="s">
        <v>361</v>
      </c>
      <c r="AY19" s="146" t="s">
        <v>361</v>
      </c>
      <c r="AZ19" s="146" t="s">
        <v>360</v>
      </c>
      <c r="BA19" s="146" t="s">
        <v>361</v>
      </c>
      <c r="BB19" s="146" t="s">
        <v>360</v>
      </c>
      <c r="BC19" s="146" t="s">
        <v>361</v>
      </c>
      <c r="BD19" s="146" t="s">
        <v>361</v>
      </c>
      <c r="BE19" s="146" t="s">
        <v>361</v>
      </c>
      <c r="BF19" s="146" t="s">
        <v>361</v>
      </c>
      <c r="BG19" s="146" t="s">
        <v>361</v>
      </c>
      <c r="BH19" s="146" t="s">
        <v>361</v>
      </c>
      <c r="BI19" s="146" t="s">
        <v>361</v>
      </c>
      <c r="BJ19" s="146" t="s">
        <v>361</v>
      </c>
      <c r="BK19" s="146" t="s">
        <v>361</v>
      </c>
      <c r="BL19" s="146" t="s">
        <v>361</v>
      </c>
      <c r="BM19" s="146" t="s">
        <v>360</v>
      </c>
      <c r="BN19" s="146" t="s">
        <v>361</v>
      </c>
      <c r="BO19" s="146" t="s">
        <v>360</v>
      </c>
      <c r="BP19" s="146" t="s">
        <v>361</v>
      </c>
      <c r="BQ19" s="146" t="s">
        <v>360</v>
      </c>
      <c r="BR19" s="146" t="s">
        <v>360</v>
      </c>
      <c r="BS19" s="146" t="s">
        <v>361</v>
      </c>
      <c r="BT19" s="146" t="s">
        <v>361</v>
      </c>
      <c r="BU19" s="146" t="s">
        <v>361</v>
      </c>
      <c r="BV19" s="146" t="s">
        <v>360</v>
      </c>
      <c r="BW19" s="146" t="s">
        <v>361</v>
      </c>
      <c r="BX19" s="146" t="s">
        <v>361</v>
      </c>
      <c r="BY19" s="146" t="s">
        <v>361</v>
      </c>
      <c r="BZ19" s="149" t="s">
        <v>361</v>
      </c>
    </row>
    <row r="20" spans="1:78" s="2" customFormat="1" x14ac:dyDescent="0.25">
      <c r="A20" s="181" t="s">
        <v>316</v>
      </c>
      <c r="B20" s="146" t="s">
        <v>361</v>
      </c>
      <c r="C20" s="146" t="s">
        <v>360</v>
      </c>
      <c r="D20" s="146" t="s">
        <v>361</v>
      </c>
      <c r="E20" s="146" t="s">
        <v>361</v>
      </c>
      <c r="F20" s="146" t="s">
        <v>360</v>
      </c>
      <c r="G20" s="146" t="s">
        <v>361</v>
      </c>
      <c r="H20" s="146" t="s">
        <v>361</v>
      </c>
      <c r="I20" s="146" t="s">
        <v>361</v>
      </c>
      <c r="J20" s="149" t="s">
        <v>360</v>
      </c>
      <c r="K20" s="181" t="s">
        <v>316</v>
      </c>
      <c r="L20" s="146" t="str">
        <f>LOOKUP($K20,PantheonList!$A$18:$A$139,PantheonList!$B$18:$B$139)</f>
        <v>Awareness</v>
      </c>
      <c r="M20" s="146" t="str">
        <f>LOOKUP($K20,PantheonList!$A$18:$A$139,PantheonList!$C$18:$C$139)</f>
        <v>Empathy</v>
      </c>
      <c r="N20" s="146" t="str">
        <f>LOOKUP($K20,PantheonList!$A$18:$A$139,PantheonList!$D$18:$D$139)</f>
        <v>Investigation</v>
      </c>
      <c r="O20" s="146" t="str">
        <f>LOOKUP($K20,PantheonList!$A$18:$A$139,PantheonList!$E$18:$E$139)</f>
        <v>Larceny</v>
      </c>
      <c r="P20" s="146" t="str">
        <f>LOOKUP($K20,PantheonList!$A$18:$A$139,PantheonList!$F$18:$F$139)</f>
        <v>Stealth</v>
      </c>
      <c r="Q20" s="146" t="str">
        <f>LOOKUP($K20,PantheonList!$A$18:$A$139,PantheonList!$G$18:$G$139)</f>
        <v>Survival</v>
      </c>
      <c r="R20" s="146" t="str">
        <f t="shared" si="2"/>
        <v>No</v>
      </c>
      <c r="S20" s="146" t="str">
        <f t="shared" si="2"/>
        <v>No</v>
      </c>
      <c r="T20" s="146" t="str">
        <f t="shared" si="2"/>
        <v>No</v>
      </c>
      <c r="U20" s="146" t="str">
        <f t="shared" si="2"/>
        <v>No</v>
      </c>
      <c r="V20" s="146" t="str">
        <f t="shared" si="2"/>
        <v>Yes</v>
      </c>
      <c r="W20" s="146" t="str">
        <f t="shared" si="2"/>
        <v>No</v>
      </c>
      <c r="X20" s="146" t="str">
        <f t="shared" si="2"/>
        <v>No</v>
      </c>
      <c r="Y20" s="146" t="str">
        <f t="shared" si="2"/>
        <v>No</v>
      </c>
      <c r="Z20" s="146" t="str">
        <f t="shared" si="2"/>
        <v>No</v>
      </c>
      <c r="AA20" s="146" t="str">
        <f t="shared" si="2"/>
        <v>Yes</v>
      </c>
      <c r="AB20" s="146" t="str">
        <f t="shared" si="3"/>
        <v>No</v>
      </c>
      <c r="AC20" s="146" t="str">
        <f t="shared" si="3"/>
        <v>No</v>
      </c>
      <c r="AD20" s="146" t="str">
        <f t="shared" si="3"/>
        <v>Yes</v>
      </c>
      <c r="AE20" s="146" t="str">
        <f t="shared" si="3"/>
        <v>Yes</v>
      </c>
      <c r="AF20" s="146" t="str">
        <f t="shared" si="3"/>
        <v>No</v>
      </c>
      <c r="AG20" s="146" t="str">
        <f t="shared" si="3"/>
        <v>No</v>
      </c>
      <c r="AH20" s="146" t="str">
        <f t="shared" si="3"/>
        <v>No</v>
      </c>
      <c r="AI20" s="146" t="str">
        <f t="shared" si="3"/>
        <v>No</v>
      </c>
      <c r="AJ20" s="146" t="str">
        <f t="shared" si="3"/>
        <v>No</v>
      </c>
      <c r="AK20" s="146" t="str">
        <f t="shared" si="3"/>
        <v>No</v>
      </c>
      <c r="AL20" s="146" t="str">
        <f t="shared" si="3"/>
        <v>No</v>
      </c>
      <c r="AM20" s="146" t="str">
        <f t="shared" si="3"/>
        <v>Yes</v>
      </c>
      <c r="AN20" s="146" t="str">
        <f t="shared" si="3"/>
        <v>Yes</v>
      </c>
      <c r="AO20" s="149" t="str">
        <f t="shared" si="3"/>
        <v>No</v>
      </c>
      <c r="AP20" s="181" t="s">
        <v>316</v>
      </c>
      <c r="AQ20" s="146">
        <v>20</v>
      </c>
      <c r="AR20" s="146" t="s">
        <v>360</v>
      </c>
      <c r="AS20" s="146" t="s">
        <v>361</v>
      </c>
      <c r="AT20" s="146" t="s">
        <v>361</v>
      </c>
      <c r="AU20" s="146" t="s">
        <v>360</v>
      </c>
      <c r="AV20" s="146" t="s">
        <v>361</v>
      </c>
      <c r="AW20" s="146" t="s">
        <v>361</v>
      </c>
      <c r="AX20" s="146" t="s">
        <v>361</v>
      </c>
      <c r="AY20" s="146" t="s">
        <v>361</v>
      </c>
      <c r="AZ20" s="146" t="s">
        <v>361</v>
      </c>
      <c r="BA20" s="146" t="s">
        <v>361</v>
      </c>
      <c r="BB20" s="146" t="s">
        <v>361</v>
      </c>
      <c r="BC20" s="146" t="s">
        <v>361</v>
      </c>
      <c r="BD20" s="146" t="s">
        <v>361</v>
      </c>
      <c r="BE20" s="146" t="s">
        <v>361</v>
      </c>
      <c r="BF20" s="146" t="s">
        <v>361</v>
      </c>
      <c r="BG20" s="146" t="s">
        <v>361</v>
      </c>
      <c r="BH20" s="146" t="s">
        <v>361</v>
      </c>
      <c r="BI20" s="146" t="s">
        <v>360</v>
      </c>
      <c r="BJ20" s="146" t="s">
        <v>361</v>
      </c>
      <c r="BK20" s="146" t="s">
        <v>361</v>
      </c>
      <c r="BL20" s="146" t="s">
        <v>361</v>
      </c>
      <c r="BM20" s="146" t="s">
        <v>361</v>
      </c>
      <c r="BN20" s="146" t="s">
        <v>361</v>
      </c>
      <c r="BO20" s="146" t="s">
        <v>361</v>
      </c>
      <c r="BP20" s="146" t="s">
        <v>361</v>
      </c>
      <c r="BQ20" s="146" t="s">
        <v>361</v>
      </c>
      <c r="BR20" s="146" t="s">
        <v>361</v>
      </c>
      <c r="BS20" s="146" t="s">
        <v>361</v>
      </c>
      <c r="BT20" s="146" t="s">
        <v>361</v>
      </c>
      <c r="BU20" s="146" t="s">
        <v>361</v>
      </c>
      <c r="BV20" s="146" t="s">
        <v>361</v>
      </c>
      <c r="BW20" s="146" t="s">
        <v>361</v>
      </c>
      <c r="BX20" s="146" t="s">
        <v>361</v>
      </c>
      <c r="BY20" s="146" t="s">
        <v>361</v>
      </c>
      <c r="BZ20" s="149" t="s">
        <v>361</v>
      </c>
    </row>
    <row r="21" spans="1:78" s="2" customFormat="1" x14ac:dyDescent="0.25">
      <c r="A21" s="181" t="s">
        <v>296</v>
      </c>
      <c r="B21" s="146" t="s">
        <v>360</v>
      </c>
      <c r="C21" s="146" t="s">
        <v>361</v>
      </c>
      <c r="D21" s="146" t="s">
        <v>360</v>
      </c>
      <c r="E21" s="146" t="s">
        <v>361</v>
      </c>
      <c r="F21" s="146" t="s">
        <v>361</v>
      </c>
      <c r="G21" s="146" t="s">
        <v>361</v>
      </c>
      <c r="H21" s="146" t="s">
        <v>361</v>
      </c>
      <c r="I21" s="146" t="s">
        <v>361</v>
      </c>
      <c r="J21" s="149" t="s">
        <v>361</v>
      </c>
      <c r="K21" s="181" t="s">
        <v>296</v>
      </c>
      <c r="L21" s="146" t="str">
        <f>LOOKUP($K21,PantheonList!$A$18:$A$139,PantheonList!$B$18:$B$139)</f>
        <v>Art</v>
      </c>
      <c r="M21" s="146" t="str">
        <f>LOOKUP($K21,PantheonList!$A$18:$A$139,PantheonList!$C$18:$C$139)</f>
        <v>Craft</v>
      </c>
      <c r="N21" s="146" t="str">
        <f>LOOKUP($K21,PantheonList!$A$18:$A$139,PantheonList!$D$18:$D$139)</f>
        <v>Empathy</v>
      </c>
      <c r="O21" s="146" t="str">
        <f>LOOKUP($K21,PantheonList!$A$18:$A$139,PantheonList!$E$18:$E$139)</f>
        <v>Integrity</v>
      </c>
      <c r="P21" s="146" t="str">
        <f>LOOKUP($K21,PantheonList!$A$18:$A$139,PantheonList!$F$18:$F$139)</f>
        <v>Medicine</v>
      </c>
      <c r="Q21" s="146" t="str">
        <f>LOOKUP($K21,PantheonList!$A$18:$A$139,PantheonList!$G$18:$G$139)</f>
        <v>Melee</v>
      </c>
      <c r="R21" s="146" t="str">
        <f t="shared" si="2"/>
        <v>No</v>
      </c>
      <c r="S21" s="146" t="str">
        <f t="shared" si="2"/>
        <v>No</v>
      </c>
      <c r="T21" s="146" t="str">
        <f t="shared" si="2"/>
        <v>Yes</v>
      </c>
      <c r="U21" s="146" t="str">
        <f t="shared" si="2"/>
        <v>No</v>
      </c>
      <c r="V21" s="146" t="str">
        <f t="shared" si="2"/>
        <v>No</v>
      </c>
      <c r="W21" s="146" t="str">
        <f t="shared" si="2"/>
        <v>No</v>
      </c>
      <c r="X21" s="146" t="str">
        <f t="shared" si="2"/>
        <v>No</v>
      </c>
      <c r="Y21" s="146" t="str">
        <f t="shared" si="2"/>
        <v>No</v>
      </c>
      <c r="Z21" s="146" t="str">
        <f t="shared" si="2"/>
        <v>Yes</v>
      </c>
      <c r="AA21" s="146" t="str">
        <f t="shared" si="2"/>
        <v>Yes</v>
      </c>
      <c r="AB21" s="146" t="str">
        <f t="shared" si="3"/>
        <v>No</v>
      </c>
      <c r="AC21" s="146" t="str">
        <f t="shared" si="3"/>
        <v>Yes</v>
      </c>
      <c r="AD21" s="146" t="str">
        <f t="shared" si="3"/>
        <v>No</v>
      </c>
      <c r="AE21" s="146" t="str">
        <f t="shared" si="3"/>
        <v>No</v>
      </c>
      <c r="AF21" s="146" t="str">
        <f t="shared" si="3"/>
        <v>No</v>
      </c>
      <c r="AG21" s="146" t="str">
        <f t="shared" si="3"/>
        <v>Yes</v>
      </c>
      <c r="AH21" s="146" t="str">
        <f t="shared" si="3"/>
        <v>Yes</v>
      </c>
      <c r="AI21" s="146" t="str">
        <f t="shared" si="3"/>
        <v>No</v>
      </c>
      <c r="AJ21" s="146" t="str">
        <f t="shared" si="3"/>
        <v>No</v>
      </c>
      <c r="AK21" s="146" t="str">
        <f t="shared" si="3"/>
        <v>No</v>
      </c>
      <c r="AL21" s="146" t="str">
        <f t="shared" si="3"/>
        <v>No</v>
      </c>
      <c r="AM21" s="146" t="str">
        <f t="shared" si="3"/>
        <v>No</v>
      </c>
      <c r="AN21" s="146" t="str">
        <f t="shared" si="3"/>
        <v>No</v>
      </c>
      <c r="AO21" s="149" t="str">
        <f t="shared" si="3"/>
        <v>No</v>
      </c>
      <c r="AP21" s="181" t="s">
        <v>296</v>
      </c>
      <c r="AQ21" s="146">
        <v>21</v>
      </c>
      <c r="AR21" s="146" t="s">
        <v>360</v>
      </c>
      <c r="AS21" s="146" t="s">
        <v>361</v>
      </c>
      <c r="AT21" s="146" t="s">
        <v>361</v>
      </c>
      <c r="AU21" s="146" t="s">
        <v>361</v>
      </c>
      <c r="AV21" s="146" t="s">
        <v>361</v>
      </c>
      <c r="AW21" s="146" t="s">
        <v>361</v>
      </c>
      <c r="AX21" s="146" t="s">
        <v>361</v>
      </c>
      <c r="AY21" s="146" t="s">
        <v>361</v>
      </c>
      <c r="AZ21" s="146" t="s">
        <v>361</v>
      </c>
      <c r="BA21" s="146" t="s">
        <v>360</v>
      </c>
      <c r="BB21" s="146" t="s">
        <v>361</v>
      </c>
      <c r="BC21" s="146" t="s">
        <v>360</v>
      </c>
      <c r="BD21" s="146" t="s">
        <v>361</v>
      </c>
      <c r="BE21" s="146" t="s">
        <v>361</v>
      </c>
      <c r="BF21" s="146" t="s">
        <v>360</v>
      </c>
      <c r="BG21" s="146" t="s">
        <v>361</v>
      </c>
      <c r="BH21" s="146" t="s">
        <v>361</v>
      </c>
      <c r="BI21" s="146" t="s">
        <v>361</v>
      </c>
      <c r="BJ21" s="146" t="s">
        <v>361</v>
      </c>
      <c r="BK21" s="146" t="s">
        <v>361</v>
      </c>
      <c r="BL21" s="146" t="s">
        <v>361</v>
      </c>
      <c r="BM21" s="146" t="s">
        <v>361</v>
      </c>
      <c r="BN21" s="146" t="s">
        <v>361</v>
      </c>
      <c r="BO21" s="146" t="s">
        <v>361</v>
      </c>
      <c r="BP21" s="146" t="s">
        <v>361</v>
      </c>
      <c r="BQ21" s="146" t="s">
        <v>361</v>
      </c>
      <c r="BR21" s="146" t="s">
        <v>361</v>
      </c>
      <c r="BS21" s="146" t="s">
        <v>361</v>
      </c>
      <c r="BT21" s="146" t="s">
        <v>361</v>
      </c>
      <c r="BU21" s="146" t="s">
        <v>361</v>
      </c>
      <c r="BV21" s="146" t="s">
        <v>361</v>
      </c>
      <c r="BW21" s="146" t="s">
        <v>361</v>
      </c>
      <c r="BX21" s="146" t="s">
        <v>361</v>
      </c>
      <c r="BY21" s="146" t="s">
        <v>361</v>
      </c>
      <c r="BZ21" s="149" t="s">
        <v>360</v>
      </c>
    </row>
    <row r="22" spans="1:78" s="2" customFormat="1" x14ac:dyDescent="0.25">
      <c r="A22" s="181" t="s">
        <v>266</v>
      </c>
      <c r="B22" s="146" t="s">
        <v>361</v>
      </c>
      <c r="C22" s="146" t="s">
        <v>361</v>
      </c>
      <c r="D22" s="146" t="s">
        <v>361</v>
      </c>
      <c r="E22" s="146" t="s">
        <v>361</v>
      </c>
      <c r="F22" s="146" t="s">
        <v>360</v>
      </c>
      <c r="G22" s="146" t="s">
        <v>360</v>
      </c>
      <c r="H22" s="146" t="s">
        <v>361</v>
      </c>
      <c r="I22" s="146" t="s">
        <v>361</v>
      </c>
      <c r="J22" s="149" t="s">
        <v>361</v>
      </c>
      <c r="K22" s="181" t="s">
        <v>266</v>
      </c>
      <c r="L22" s="146" t="str">
        <f>LOOKUP($K22,PantheonList!$A$18:$A$139,PantheonList!$B$18:$B$139)</f>
        <v>Command</v>
      </c>
      <c r="M22" s="146" t="str">
        <f>LOOKUP($K22,PantheonList!$A$18:$A$139,PantheonList!$C$18:$C$139)</f>
        <v>Integrity</v>
      </c>
      <c r="N22" s="146" t="str">
        <f>LOOKUP($K22,PantheonList!$A$18:$A$139,PantheonList!$D$18:$D$139)</f>
        <v>Investigation</v>
      </c>
      <c r="O22" s="146" t="str">
        <f>LOOKUP($K22,PantheonList!$A$18:$A$139,PantheonList!$E$18:$E$139)</f>
        <v>Larceny</v>
      </c>
      <c r="P22" s="146" t="str">
        <f>LOOKUP($K22,PantheonList!$A$18:$A$139,PantheonList!$F$18:$F$139)</f>
        <v>Politics</v>
      </c>
      <c r="Q22" s="146" t="str">
        <f>LOOKUP($K22,PantheonList!$A$18:$A$139,PantheonList!$G$18:$G$139)</f>
        <v>Presence</v>
      </c>
      <c r="R22" s="146" t="str">
        <f t="shared" ref="R22:AA31" si="4">IF(OR($Q22=R$1,$P22=R$1,$O22=R$1,$N22=R$1,$M22=R$1,$L22=R$1),"Yes","No")</f>
        <v>No</v>
      </c>
      <c r="S22" s="146" t="str">
        <f t="shared" si="4"/>
        <v>No</v>
      </c>
      <c r="T22" s="146" t="str">
        <f t="shared" si="4"/>
        <v>No</v>
      </c>
      <c r="U22" s="146" t="str">
        <f t="shared" si="4"/>
        <v>No</v>
      </c>
      <c r="V22" s="146" t="str">
        <f t="shared" si="4"/>
        <v>No</v>
      </c>
      <c r="W22" s="146" t="str">
        <f t="shared" si="4"/>
        <v>No</v>
      </c>
      <c r="X22" s="146" t="str">
        <f t="shared" si="4"/>
        <v>Yes</v>
      </c>
      <c r="Y22" s="146" t="str">
        <f t="shared" si="4"/>
        <v>No</v>
      </c>
      <c r="Z22" s="146" t="str">
        <f t="shared" si="4"/>
        <v>No</v>
      </c>
      <c r="AA22" s="146" t="str">
        <f t="shared" si="4"/>
        <v>No</v>
      </c>
      <c r="AB22" s="146" t="str">
        <f t="shared" ref="AB22:AO31" si="5">IF(OR($Q22=AB$1,$P22=AB$1,$O22=AB$1,$N22=AB$1,$M22=AB$1,$L22=AB$1),"Yes","No")</f>
        <v>No</v>
      </c>
      <c r="AC22" s="146" t="str">
        <f t="shared" si="5"/>
        <v>Yes</v>
      </c>
      <c r="AD22" s="146" t="str">
        <f t="shared" si="5"/>
        <v>Yes</v>
      </c>
      <c r="AE22" s="146" t="str">
        <f t="shared" si="5"/>
        <v>Yes</v>
      </c>
      <c r="AF22" s="146" t="str">
        <f t="shared" si="5"/>
        <v>No</v>
      </c>
      <c r="AG22" s="146" t="str">
        <f t="shared" si="5"/>
        <v>No</v>
      </c>
      <c r="AH22" s="146" t="str">
        <f t="shared" si="5"/>
        <v>No</v>
      </c>
      <c r="AI22" s="146" t="str">
        <f t="shared" si="5"/>
        <v>No</v>
      </c>
      <c r="AJ22" s="146" t="str">
        <f t="shared" si="5"/>
        <v>Yes</v>
      </c>
      <c r="AK22" s="146" t="str">
        <f t="shared" si="5"/>
        <v>Yes</v>
      </c>
      <c r="AL22" s="146" t="str">
        <f t="shared" si="5"/>
        <v>No</v>
      </c>
      <c r="AM22" s="146" t="str">
        <f t="shared" si="5"/>
        <v>No</v>
      </c>
      <c r="AN22" s="146" t="str">
        <f t="shared" si="5"/>
        <v>No</v>
      </c>
      <c r="AO22" s="149" t="str">
        <f t="shared" si="5"/>
        <v>No</v>
      </c>
      <c r="AP22" s="181" t="s">
        <v>266</v>
      </c>
      <c r="AQ22" s="146">
        <v>22</v>
      </c>
      <c r="AR22" s="146" t="s">
        <v>361</v>
      </c>
      <c r="AS22" s="146" t="s">
        <v>360</v>
      </c>
      <c r="AT22" s="146" t="s">
        <v>361</v>
      </c>
      <c r="AU22" s="146" t="s">
        <v>360</v>
      </c>
      <c r="AV22" s="146" t="s">
        <v>361</v>
      </c>
      <c r="AW22" s="146" t="s">
        <v>361</v>
      </c>
      <c r="AX22" s="146" t="s">
        <v>361</v>
      </c>
      <c r="AY22" s="146" t="s">
        <v>361</v>
      </c>
      <c r="AZ22" s="146" t="s">
        <v>361</v>
      </c>
      <c r="BA22" s="146" t="s">
        <v>361</v>
      </c>
      <c r="BB22" s="146" t="s">
        <v>361</v>
      </c>
      <c r="BC22" s="146" t="s">
        <v>361</v>
      </c>
      <c r="BD22" s="146" t="s">
        <v>361</v>
      </c>
      <c r="BE22" s="146" t="s">
        <v>361</v>
      </c>
      <c r="BF22" s="146" t="s">
        <v>361</v>
      </c>
      <c r="BG22" s="146" t="s">
        <v>361</v>
      </c>
      <c r="BH22" s="146" t="s">
        <v>361</v>
      </c>
      <c r="BI22" s="146" t="s">
        <v>361</v>
      </c>
      <c r="BJ22" s="146" t="s">
        <v>361</v>
      </c>
      <c r="BK22" s="146" t="s">
        <v>361</v>
      </c>
      <c r="BL22" s="146" t="s">
        <v>361</v>
      </c>
      <c r="BM22" s="146" t="s">
        <v>360</v>
      </c>
      <c r="BN22" s="146" t="s">
        <v>361</v>
      </c>
      <c r="BO22" s="146" t="s">
        <v>361</v>
      </c>
      <c r="BP22" s="146" t="s">
        <v>361</v>
      </c>
      <c r="BQ22" s="146" t="s">
        <v>361</v>
      </c>
      <c r="BR22" s="146" t="s">
        <v>361</v>
      </c>
      <c r="BS22" s="146" t="s">
        <v>361</v>
      </c>
      <c r="BT22" s="146" t="s">
        <v>361</v>
      </c>
      <c r="BU22" s="146" t="s">
        <v>361</v>
      </c>
      <c r="BV22" s="146" t="s">
        <v>361</v>
      </c>
      <c r="BW22" s="146" t="s">
        <v>361</v>
      </c>
      <c r="BX22" s="146" t="s">
        <v>361</v>
      </c>
      <c r="BY22" s="146" t="s">
        <v>361</v>
      </c>
      <c r="BZ22" s="149" t="s">
        <v>361</v>
      </c>
    </row>
    <row r="23" spans="1:78" s="2" customFormat="1" x14ac:dyDescent="0.25">
      <c r="A23" s="181" t="s">
        <v>236</v>
      </c>
      <c r="B23" s="146" t="s">
        <v>361</v>
      </c>
      <c r="C23" s="146" t="s">
        <v>361</v>
      </c>
      <c r="D23" s="146" t="s">
        <v>361</v>
      </c>
      <c r="E23" s="146" t="s">
        <v>361</v>
      </c>
      <c r="F23" s="146" t="s">
        <v>361</v>
      </c>
      <c r="G23" s="146" t="s">
        <v>360</v>
      </c>
      <c r="H23" s="146" t="s">
        <v>361</v>
      </c>
      <c r="I23" s="146" t="s">
        <v>361</v>
      </c>
      <c r="J23" s="149" t="s">
        <v>360</v>
      </c>
      <c r="K23" s="181" t="s">
        <v>236</v>
      </c>
      <c r="L23" s="146" t="str">
        <f>LOOKUP($K23,PantheonList!$A$18:$A$139,PantheonList!$B$18:$B$139)</f>
        <v>Awareness</v>
      </c>
      <c r="M23" s="146" t="str">
        <f>LOOKUP($K23,PantheonList!$A$18:$A$139,PantheonList!$C$18:$C$139)</f>
        <v>Empathy</v>
      </c>
      <c r="N23" s="146" t="str">
        <f>LOOKUP($K23,PantheonList!$A$18:$A$139,PantheonList!$D$18:$D$139)</f>
        <v>Integrity</v>
      </c>
      <c r="O23" s="146" t="str">
        <f>LOOKUP($K23,PantheonList!$A$18:$A$139,PantheonList!$E$18:$E$139)</f>
        <v>Investigation</v>
      </c>
      <c r="P23" s="146" t="str">
        <f>LOOKUP($K23,PantheonList!$A$18:$A$139,PantheonList!$F$18:$F$139)</f>
        <v>Larceny</v>
      </c>
      <c r="Q23" s="146" t="str">
        <f>LOOKUP($K23,PantheonList!$A$18:$A$139,PantheonList!$G$18:$G$139)</f>
        <v>Presence</v>
      </c>
      <c r="R23" s="146" t="str">
        <f t="shared" si="4"/>
        <v>No</v>
      </c>
      <c r="S23" s="146" t="str">
        <f t="shared" si="4"/>
        <v>No</v>
      </c>
      <c r="T23" s="146" t="str">
        <f t="shared" si="4"/>
        <v>No</v>
      </c>
      <c r="U23" s="146" t="str">
        <f t="shared" si="4"/>
        <v>No</v>
      </c>
      <c r="V23" s="146" t="str">
        <f t="shared" si="4"/>
        <v>Yes</v>
      </c>
      <c r="W23" s="146" t="str">
        <f t="shared" si="4"/>
        <v>No</v>
      </c>
      <c r="X23" s="146" t="str">
        <f t="shared" si="4"/>
        <v>No</v>
      </c>
      <c r="Y23" s="146" t="str">
        <f t="shared" si="4"/>
        <v>No</v>
      </c>
      <c r="Z23" s="146" t="str">
        <f t="shared" si="4"/>
        <v>No</v>
      </c>
      <c r="AA23" s="146" t="str">
        <f t="shared" si="4"/>
        <v>Yes</v>
      </c>
      <c r="AB23" s="146" t="str">
        <f t="shared" si="5"/>
        <v>No</v>
      </c>
      <c r="AC23" s="146" t="str">
        <f t="shared" si="5"/>
        <v>Yes</v>
      </c>
      <c r="AD23" s="146" t="str">
        <f t="shared" si="5"/>
        <v>Yes</v>
      </c>
      <c r="AE23" s="146" t="str">
        <f t="shared" si="5"/>
        <v>Yes</v>
      </c>
      <c r="AF23" s="146" t="str">
        <f t="shared" si="5"/>
        <v>No</v>
      </c>
      <c r="AG23" s="146" t="str">
        <f t="shared" si="5"/>
        <v>No</v>
      </c>
      <c r="AH23" s="146" t="str">
        <f t="shared" si="5"/>
        <v>No</v>
      </c>
      <c r="AI23" s="146" t="str">
        <f t="shared" si="5"/>
        <v>No</v>
      </c>
      <c r="AJ23" s="146" t="str">
        <f t="shared" si="5"/>
        <v>No</v>
      </c>
      <c r="AK23" s="146" t="str">
        <f t="shared" si="5"/>
        <v>Yes</v>
      </c>
      <c r="AL23" s="146" t="str">
        <f t="shared" si="5"/>
        <v>No</v>
      </c>
      <c r="AM23" s="146" t="str">
        <f t="shared" si="5"/>
        <v>No</v>
      </c>
      <c r="AN23" s="146" t="str">
        <f t="shared" si="5"/>
        <v>No</v>
      </c>
      <c r="AO23" s="149" t="str">
        <f t="shared" si="5"/>
        <v>No</v>
      </c>
      <c r="AP23" s="181" t="s">
        <v>236</v>
      </c>
      <c r="AQ23" s="146">
        <v>23</v>
      </c>
      <c r="AR23" s="146" t="s">
        <v>361</v>
      </c>
      <c r="AS23" s="146" t="s">
        <v>361</v>
      </c>
      <c r="AT23" s="146" t="s">
        <v>361</v>
      </c>
      <c r="AU23" s="146" t="s">
        <v>361</v>
      </c>
      <c r="AV23" s="146" t="s">
        <v>361</v>
      </c>
      <c r="AW23" s="146" t="s">
        <v>361</v>
      </c>
      <c r="AX23" s="146" t="s">
        <v>361</v>
      </c>
      <c r="AY23" s="146" t="s">
        <v>361</v>
      </c>
      <c r="AZ23" s="146" t="s">
        <v>361</v>
      </c>
      <c r="BA23" s="146" t="s">
        <v>361</v>
      </c>
      <c r="BB23" s="146" t="s">
        <v>361</v>
      </c>
      <c r="BC23" s="146" t="s">
        <v>361</v>
      </c>
      <c r="BD23" s="146" t="s">
        <v>360</v>
      </c>
      <c r="BE23" s="146" t="s">
        <v>361</v>
      </c>
      <c r="BF23" s="146" t="s">
        <v>361</v>
      </c>
      <c r="BG23" s="146" t="s">
        <v>361</v>
      </c>
      <c r="BH23" s="146" t="s">
        <v>361</v>
      </c>
      <c r="BI23" s="146" t="s">
        <v>361</v>
      </c>
      <c r="BJ23" s="146" t="s">
        <v>361</v>
      </c>
      <c r="BK23" s="146" t="s">
        <v>361</v>
      </c>
      <c r="BL23" s="146" t="s">
        <v>361</v>
      </c>
      <c r="BM23" s="146" t="s">
        <v>361</v>
      </c>
      <c r="BN23" s="146" t="s">
        <v>360</v>
      </c>
      <c r="BO23" s="146" t="s">
        <v>361</v>
      </c>
      <c r="BP23" s="146" t="s">
        <v>361</v>
      </c>
      <c r="BQ23" s="146" t="s">
        <v>361</v>
      </c>
      <c r="BR23" s="146" t="s">
        <v>361</v>
      </c>
      <c r="BS23" s="146" t="s">
        <v>361</v>
      </c>
      <c r="BT23" s="146" t="s">
        <v>361</v>
      </c>
      <c r="BU23" s="146" t="s">
        <v>361</v>
      </c>
      <c r="BV23" s="146" t="s">
        <v>361</v>
      </c>
      <c r="BW23" s="146" t="s">
        <v>360</v>
      </c>
      <c r="BX23" s="146" t="s">
        <v>361</v>
      </c>
      <c r="BY23" s="146" t="s">
        <v>361</v>
      </c>
      <c r="BZ23" s="149" t="s">
        <v>361</v>
      </c>
    </row>
    <row r="24" spans="1:78" s="2" customFormat="1" x14ac:dyDescent="0.25">
      <c r="A24" s="181" t="s">
        <v>317</v>
      </c>
      <c r="B24" s="146" t="s">
        <v>361</v>
      </c>
      <c r="C24" s="146" t="s">
        <v>361</v>
      </c>
      <c r="D24" s="146" t="s">
        <v>361</v>
      </c>
      <c r="E24" s="146" t="s">
        <v>360</v>
      </c>
      <c r="F24" s="146" t="s">
        <v>361</v>
      </c>
      <c r="G24" s="146" t="s">
        <v>361</v>
      </c>
      <c r="H24" s="146" t="s">
        <v>360</v>
      </c>
      <c r="I24" s="146" t="s">
        <v>361</v>
      </c>
      <c r="J24" s="149" t="s">
        <v>361</v>
      </c>
      <c r="K24" s="181" t="s">
        <v>317</v>
      </c>
      <c r="L24" s="146" t="str">
        <f>LOOKUP($K24,PantheonList!$A$18:$A$139,PantheonList!$B$18:$B$139)</f>
        <v>Awareness</v>
      </c>
      <c r="M24" s="146" t="str">
        <f>LOOKUP($K24,PantheonList!$A$18:$A$139,PantheonList!$C$18:$C$139)</f>
        <v>Control</v>
      </c>
      <c r="N24" s="146" t="str">
        <f>LOOKUP($K24,PantheonList!$A$18:$A$139,PantheonList!$D$18:$D$139)</f>
        <v>Fortitude</v>
      </c>
      <c r="O24" s="146" t="str">
        <f>LOOKUP($K24,PantheonList!$A$18:$A$139,PantheonList!$E$18:$E$139)</f>
        <v>Investigation</v>
      </c>
      <c r="P24" s="146" t="str">
        <f>LOOKUP($K24,PantheonList!$A$18:$A$139,PantheonList!$F$18:$F$139)</f>
        <v>Science</v>
      </c>
      <c r="Q24" s="146" t="str">
        <f>LOOKUP($K24,PantheonList!$A$18:$A$139,PantheonList!$G$18:$G$139)</f>
        <v>Survival</v>
      </c>
      <c r="R24" s="146" t="str">
        <f t="shared" si="4"/>
        <v>No</v>
      </c>
      <c r="S24" s="146" t="str">
        <f t="shared" si="4"/>
        <v>No</v>
      </c>
      <c r="T24" s="146" t="str">
        <f t="shared" si="4"/>
        <v>No</v>
      </c>
      <c r="U24" s="146" t="str">
        <f t="shared" si="4"/>
        <v>No</v>
      </c>
      <c r="V24" s="146" t="str">
        <f t="shared" si="4"/>
        <v>Yes</v>
      </c>
      <c r="W24" s="146" t="str">
        <f t="shared" si="4"/>
        <v>No</v>
      </c>
      <c r="X24" s="146" t="str">
        <f t="shared" si="4"/>
        <v>No</v>
      </c>
      <c r="Y24" s="146" t="str">
        <f t="shared" si="4"/>
        <v>Yes</v>
      </c>
      <c r="Z24" s="146" t="str">
        <f t="shared" si="4"/>
        <v>No</v>
      </c>
      <c r="AA24" s="146" t="str">
        <f t="shared" si="4"/>
        <v>No</v>
      </c>
      <c r="AB24" s="146" t="str">
        <f t="shared" si="5"/>
        <v>Yes</v>
      </c>
      <c r="AC24" s="146" t="str">
        <f t="shared" si="5"/>
        <v>No</v>
      </c>
      <c r="AD24" s="146" t="str">
        <f t="shared" si="5"/>
        <v>Yes</v>
      </c>
      <c r="AE24" s="146" t="str">
        <f t="shared" si="5"/>
        <v>No</v>
      </c>
      <c r="AF24" s="146" t="str">
        <f t="shared" si="5"/>
        <v>No</v>
      </c>
      <c r="AG24" s="146" t="str">
        <f t="shared" si="5"/>
        <v>No</v>
      </c>
      <c r="AH24" s="146" t="str">
        <f t="shared" si="5"/>
        <v>No</v>
      </c>
      <c r="AI24" s="146" t="str">
        <f t="shared" si="5"/>
        <v>No</v>
      </c>
      <c r="AJ24" s="146" t="str">
        <f t="shared" si="5"/>
        <v>No</v>
      </c>
      <c r="AK24" s="146" t="str">
        <f t="shared" si="5"/>
        <v>No</v>
      </c>
      <c r="AL24" s="146" t="str">
        <f t="shared" si="5"/>
        <v>Yes</v>
      </c>
      <c r="AM24" s="146" t="str">
        <f t="shared" si="5"/>
        <v>No</v>
      </c>
      <c r="AN24" s="146" t="str">
        <f t="shared" si="5"/>
        <v>Yes</v>
      </c>
      <c r="AO24" s="149" t="str">
        <f t="shared" si="5"/>
        <v>No</v>
      </c>
      <c r="AP24" s="181" t="s">
        <v>317</v>
      </c>
      <c r="AQ24" s="146">
        <v>24</v>
      </c>
      <c r="AR24" s="146" t="s">
        <v>361</v>
      </c>
      <c r="AS24" s="146" t="s">
        <v>361</v>
      </c>
      <c r="AT24" s="146" t="s">
        <v>361</v>
      </c>
      <c r="AU24" s="146" t="s">
        <v>361</v>
      </c>
      <c r="AV24" s="146" t="s">
        <v>361</v>
      </c>
      <c r="AW24" s="146" t="s">
        <v>361</v>
      </c>
      <c r="AX24" s="146" t="s">
        <v>361</v>
      </c>
      <c r="AY24" s="146" t="s">
        <v>361</v>
      </c>
      <c r="AZ24" s="146" t="s">
        <v>361</v>
      </c>
      <c r="BA24" s="146" t="s">
        <v>361</v>
      </c>
      <c r="BB24" s="146" t="s">
        <v>361</v>
      </c>
      <c r="BC24" s="146" t="s">
        <v>361</v>
      </c>
      <c r="BD24" s="146" t="s">
        <v>361</v>
      </c>
      <c r="BE24" s="146" t="s">
        <v>360</v>
      </c>
      <c r="BF24" s="146" t="s">
        <v>361</v>
      </c>
      <c r="BG24" s="146" t="s">
        <v>361</v>
      </c>
      <c r="BH24" s="146" t="s">
        <v>361</v>
      </c>
      <c r="BI24" s="146" t="s">
        <v>360</v>
      </c>
      <c r="BJ24" s="146" t="s">
        <v>361</v>
      </c>
      <c r="BK24" s="146" t="s">
        <v>361</v>
      </c>
      <c r="BL24" s="146" t="s">
        <v>361</v>
      </c>
      <c r="BM24" s="146" t="s">
        <v>361</v>
      </c>
      <c r="BN24" s="146" t="s">
        <v>361</v>
      </c>
      <c r="BO24" s="146" t="s">
        <v>361</v>
      </c>
      <c r="BP24" s="146" t="s">
        <v>361</v>
      </c>
      <c r="BQ24" s="146" t="s">
        <v>360</v>
      </c>
      <c r="BR24" s="146" t="s">
        <v>361</v>
      </c>
      <c r="BS24" s="146" t="s">
        <v>361</v>
      </c>
      <c r="BT24" s="146" t="s">
        <v>361</v>
      </c>
      <c r="BU24" s="146" t="s">
        <v>361</v>
      </c>
      <c r="BV24" s="146" t="s">
        <v>361</v>
      </c>
      <c r="BW24" s="146" t="s">
        <v>361</v>
      </c>
      <c r="BX24" s="146" t="s">
        <v>361</v>
      </c>
      <c r="BY24" s="146" t="s">
        <v>361</v>
      </c>
      <c r="BZ24" s="149" t="s">
        <v>361</v>
      </c>
    </row>
    <row r="25" spans="1:78" s="2" customFormat="1" x14ac:dyDescent="0.25">
      <c r="A25" s="181" t="s">
        <v>702</v>
      </c>
      <c r="B25" s="146" t="s">
        <v>360</v>
      </c>
      <c r="C25" s="146" t="s">
        <v>361</v>
      </c>
      <c r="D25" s="146" t="s">
        <v>360</v>
      </c>
      <c r="E25" s="146" t="s">
        <v>360</v>
      </c>
      <c r="F25" s="146" t="s">
        <v>361</v>
      </c>
      <c r="G25" s="146" t="s">
        <v>361</v>
      </c>
      <c r="H25" s="146" t="s">
        <v>361</v>
      </c>
      <c r="I25" s="146" t="s">
        <v>361</v>
      </c>
      <c r="J25" s="149" t="s">
        <v>361</v>
      </c>
      <c r="K25" s="181" t="s">
        <v>702</v>
      </c>
      <c r="L25" s="146" t="str">
        <f>LOOKUP($K25,PantheonList!$A$18:$A$139,PantheonList!$B$18:$B$139)</f>
        <v>Animal Ken</v>
      </c>
      <c r="M25" s="146" t="str">
        <f>LOOKUP($K25,PantheonList!$A$18:$A$139,PantheonList!$C$18:$C$139)</f>
        <v>Command</v>
      </c>
      <c r="N25" s="146" t="str">
        <f>LOOKUP($K25,PantheonList!$A$18:$A$139,PantheonList!$D$18:$D$139)</f>
        <v>Fortitude</v>
      </c>
      <c r="O25" s="146" t="str">
        <f>LOOKUP($K25,PantheonList!$A$18:$A$139,PantheonList!$E$18:$E$139)</f>
        <v>Melee</v>
      </c>
      <c r="P25" s="146" t="str">
        <f>LOOKUP($K25,PantheonList!$A$18:$A$139,PantheonList!$F$18:$F$139)</f>
        <v>Presence</v>
      </c>
      <c r="Q25" s="146" t="str">
        <f>LOOKUP($K25,PantheonList!$A$18:$A$139,PantheonList!$G$18:$G$139)</f>
        <v>Thrown</v>
      </c>
      <c r="R25" s="146" t="str">
        <f t="shared" si="4"/>
        <v>No</v>
      </c>
      <c r="S25" s="146" t="str">
        <f t="shared" si="4"/>
        <v>Yes</v>
      </c>
      <c r="T25" s="146" t="str">
        <f t="shared" si="4"/>
        <v>No</v>
      </c>
      <c r="U25" s="146" t="str">
        <f t="shared" si="4"/>
        <v>No</v>
      </c>
      <c r="V25" s="146" t="str">
        <f t="shared" si="4"/>
        <v>No</v>
      </c>
      <c r="W25" s="146" t="str">
        <f t="shared" si="4"/>
        <v>No</v>
      </c>
      <c r="X25" s="146" t="str">
        <f t="shared" si="4"/>
        <v>Yes</v>
      </c>
      <c r="Y25" s="146" t="str">
        <f t="shared" si="4"/>
        <v>No</v>
      </c>
      <c r="Z25" s="146" t="str">
        <f t="shared" si="4"/>
        <v>No</v>
      </c>
      <c r="AA25" s="146" t="str">
        <f t="shared" si="4"/>
        <v>No</v>
      </c>
      <c r="AB25" s="146" t="str">
        <f t="shared" si="5"/>
        <v>Yes</v>
      </c>
      <c r="AC25" s="146" t="str">
        <f t="shared" si="5"/>
        <v>No</v>
      </c>
      <c r="AD25" s="146" t="str">
        <f t="shared" si="5"/>
        <v>No</v>
      </c>
      <c r="AE25" s="146" t="str">
        <f t="shared" si="5"/>
        <v>No</v>
      </c>
      <c r="AF25" s="146" t="str">
        <f t="shared" si="5"/>
        <v>No</v>
      </c>
      <c r="AG25" s="146" t="str">
        <f t="shared" si="5"/>
        <v>No</v>
      </c>
      <c r="AH25" s="146" t="str">
        <f t="shared" si="5"/>
        <v>Yes</v>
      </c>
      <c r="AI25" s="146" t="str">
        <f t="shared" si="5"/>
        <v>No</v>
      </c>
      <c r="AJ25" s="146" t="str">
        <f t="shared" si="5"/>
        <v>No</v>
      </c>
      <c r="AK25" s="146" t="str">
        <f t="shared" si="5"/>
        <v>Yes</v>
      </c>
      <c r="AL25" s="146" t="str">
        <f t="shared" si="5"/>
        <v>No</v>
      </c>
      <c r="AM25" s="146" t="str">
        <f t="shared" si="5"/>
        <v>No</v>
      </c>
      <c r="AN25" s="146" t="str">
        <f t="shared" si="5"/>
        <v>No</v>
      </c>
      <c r="AO25" s="149" t="str">
        <f t="shared" si="5"/>
        <v>Yes</v>
      </c>
      <c r="AP25" s="181" t="s">
        <v>702</v>
      </c>
      <c r="AQ25" s="146">
        <v>25</v>
      </c>
      <c r="AR25" s="146" t="s">
        <v>360</v>
      </c>
      <c r="AS25" s="146" t="s">
        <v>361</v>
      </c>
      <c r="AT25" s="146" t="s">
        <v>361</v>
      </c>
      <c r="AU25" s="146" t="s">
        <v>361</v>
      </c>
      <c r="AV25" s="146" t="s">
        <v>361</v>
      </c>
      <c r="AW25" s="146" t="s">
        <v>361</v>
      </c>
      <c r="AX25" s="146" t="s">
        <v>361</v>
      </c>
      <c r="AY25" s="146" t="s">
        <v>361</v>
      </c>
      <c r="AZ25" s="146" t="s">
        <v>361</v>
      </c>
      <c r="BA25" s="146" t="s">
        <v>360</v>
      </c>
      <c r="BB25" s="146" t="s">
        <v>361</v>
      </c>
      <c r="BC25" s="146" t="s">
        <v>361</v>
      </c>
      <c r="BD25" s="146" t="s">
        <v>361</v>
      </c>
      <c r="BE25" s="146" t="s">
        <v>360</v>
      </c>
      <c r="BF25" s="146" t="s">
        <v>361</v>
      </c>
      <c r="BG25" s="146" t="s">
        <v>361</v>
      </c>
      <c r="BH25" s="146" t="s">
        <v>361</v>
      </c>
      <c r="BI25" s="146" t="s">
        <v>361</v>
      </c>
      <c r="BJ25" s="146" t="s">
        <v>361</v>
      </c>
      <c r="BK25" s="146" t="s">
        <v>361</v>
      </c>
      <c r="BL25" s="146" t="s">
        <v>361</v>
      </c>
      <c r="BM25" s="146" t="s">
        <v>361</v>
      </c>
      <c r="BN25" s="146" t="s">
        <v>361</v>
      </c>
      <c r="BO25" s="146" t="s">
        <v>361</v>
      </c>
      <c r="BP25" s="146" t="s">
        <v>361</v>
      </c>
      <c r="BQ25" s="146" t="s">
        <v>361</v>
      </c>
      <c r="BR25" s="146" t="s">
        <v>361</v>
      </c>
      <c r="BS25" s="146" t="s">
        <v>361</v>
      </c>
      <c r="BT25" s="146" t="s">
        <v>361</v>
      </c>
      <c r="BU25" s="146" t="s">
        <v>361</v>
      </c>
      <c r="BV25" s="146" t="s">
        <v>361</v>
      </c>
      <c r="BW25" s="146" t="s">
        <v>361</v>
      </c>
      <c r="BX25" s="146" t="s">
        <v>361</v>
      </c>
      <c r="BY25" s="146" t="s">
        <v>360</v>
      </c>
      <c r="BZ25" s="149" t="s">
        <v>361</v>
      </c>
    </row>
    <row r="26" spans="1:78" s="2" customFormat="1" x14ac:dyDescent="0.25">
      <c r="A26" s="181" t="s">
        <v>277</v>
      </c>
      <c r="B26" s="146" t="s">
        <v>361</v>
      </c>
      <c r="C26" s="146" t="s">
        <v>361</v>
      </c>
      <c r="D26" s="146" t="s">
        <v>361</v>
      </c>
      <c r="E26" s="146" t="s">
        <v>360</v>
      </c>
      <c r="F26" s="146" t="s">
        <v>361</v>
      </c>
      <c r="G26" s="146" t="s">
        <v>361</v>
      </c>
      <c r="H26" s="146" t="s">
        <v>361</v>
      </c>
      <c r="I26" s="146" t="s">
        <v>361</v>
      </c>
      <c r="J26" s="149" t="s">
        <v>361</v>
      </c>
      <c r="K26" s="181" t="s">
        <v>277</v>
      </c>
      <c r="L26" s="146" t="str">
        <f>LOOKUP($K26,PantheonList!$A$18:$A$139,PantheonList!$B$18:$B$139)</f>
        <v>Animal Ken</v>
      </c>
      <c r="M26" s="146" t="str">
        <f>LOOKUP($K26,PantheonList!$A$18:$A$139,PantheonList!$C$18:$C$139)</f>
        <v>Awareness</v>
      </c>
      <c r="N26" s="146" t="str">
        <f>LOOKUP($K26,PantheonList!$A$18:$A$139,PantheonList!$D$18:$D$139)</f>
        <v>Brawl</v>
      </c>
      <c r="O26" s="146" t="str">
        <f>LOOKUP($K26,PantheonList!$A$18:$A$139,PantheonList!$E$18:$E$139)</f>
        <v>Empathy</v>
      </c>
      <c r="P26" s="146" t="str">
        <f>LOOKUP($K26,PantheonList!$A$18:$A$139,PantheonList!$F$18:$F$139)</f>
        <v>Medicine</v>
      </c>
      <c r="Q26" s="146" t="str">
        <f>LOOKUP($K26,PantheonList!$A$18:$A$139,PantheonList!$G$18:$G$139)</f>
        <v>Science</v>
      </c>
      <c r="R26" s="146" t="str">
        <f t="shared" si="4"/>
        <v>No</v>
      </c>
      <c r="S26" s="146" t="str">
        <f t="shared" si="4"/>
        <v>Yes</v>
      </c>
      <c r="T26" s="146" t="str">
        <f t="shared" si="4"/>
        <v>No</v>
      </c>
      <c r="U26" s="146" t="str">
        <f t="shared" si="4"/>
        <v>No</v>
      </c>
      <c r="V26" s="146" t="str">
        <f t="shared" si="4"/>
        <v>Yes</v>
      </c>
      <c r="W26" s="146" t="str">
        <f t="shared" si="4"/>
        <v>Yes</v>
      </c>
      <c r="X26" s="146" t="str">
        <f t="shared" si="4"/>
        <v>No</v>
      </c>
      <c r="Y26" s="146" t="str">
        <f t="shared" si="4"/>
        <v>No</v>
      </c>
      <c r="Z26" s="146" t="str">
        <f t="shared" si="4"/>
        <v>No</v>
      </c>
      <c r="AA26" s="146" t="str">
        <f t="shared" si="4"/>
        <v>Yes</v>
      </c>
      <c r="AB26" s="146" t="str">
        <f t="shared" si="5"/>
        <v>No</v>
      </c>
      <c r="AC26" s="146" t="str">
        <f t="shared" si="5"/>
        <v>No</v>
      </c>
      <c r="AD26" s="146" t="str">
        <f t="shared" si="5"/>
        <v>No</v>
      </c>
      <c r="AE26" s="146" t="str">
        <f t="shared" si="5"/>
        <v>No</v>
      </c>
      <c r="AF26" s="146" t="str">
        <f t="shared" si="5"/>
        <v>No</v>
      </c>
      <c r="AG26" s="146" t="str">
        <f t="shared" si="5"/>
        <v>Yes</v>
      </c>
      <c r="AH26" s="146" t="str">
        <f t="shared" si="5"/>
        <v>No</v>
      </c>
      <c r="AI26" s="146" t="str">
        <f t="shared" si="5"/>
        <v>No</v>
      </c>
      <c r="AJ26" s="146" t="str">
        <f t="shared" si="5"/>
        <v>No</v>
      </c>
      <c r="AK26" s="146" t="str">
        <f t="shared" si="5"/>
        <v>No</v>
      </c>
      <c r="AL26" s="146" t="str">
        <f t="shared" si="5"/>
        <v>Yes</v>
      </c>
      <c r="AM26" s="146" t="str">
        <f t="shared" si="5"/>
        <v>No</v>
      </c>
      <c r="AN26" s="146" t="str">
        <f t="shared" si="5"/>
        <v>No</v>
      </c>
      <c r="AO26" s="149" t="str">
        <f t="shared" si="5"/>
        <v>No</v>
      </c>
      <c r="AP26" s="181" t="s">
        <v>277</v>
      </c>
      <c r="AQ26" s="146">
        <v>26</v>
      </c>
      <c r="AR26" s="146" t="s">
        <v>360</v>
      </c>
      <c r="AS26" s="146" t="s">
        <v>361</v>
      </c>
      <c r="AT26" s="146" t="s">
        <v>361</v>
      </c>
      <c r="AU26" s="146" t="s">
        <v>361</v>
      </c>
      <c r="AV26" s="146" t="s">
        <v>360</v>
      </c>
      <c r="AW26" s="146" t="s">
        <v>361</v>
      </c>
      <c r="AX26" s="146" t="s">
        <v>361</v>
      </c>
      <c r="AY26" s="146" t="s">
        <v>361</v>
      </c>
      <c r="AZ26" s="146" t="s">
        <v>361</v>
      </c>
      <c r="BA26" s="146" t="s">
        <v>361</v>
      </c>
      <c r="BB26" s="146" t="s">
        <v>361</v>
      </c>
      <c r="BC26" s="146" t="s">
        <v>361</v>
      </c>
      <c r="BD26" s="146" t="s">
        <v>361</v>
      </c>
      <c r="BE26" s="146" t="s">
        <v>361</v>
      </c>
      <c r="BF26" s="146" t="s">
        <v>360</v>
      </c>
      <c r="BG26" s="146" t="s">
        <v>361</v>
      </c>
      <c r="BH26" s="146" t="s">
        <v>361</v>
      </c>
      <c r="BI26" s="146" t="s">
        <v>361</v>
      </c>
      <c r="BJ26" s="146" t="s">
        <v>361</v>
      </c>
      <c r="BK26" s="146" t="s">
        <v>361</v>
      </c>
      <c r="BL26" s="146" t="s">
        <v>361</v>
      </c>
      <c r="BM26" s="146" t="s">
        <v>361</v>
      </c>
      <c r="BN26" s="146" t="s">
        <v>361</v>
      </c>
      <c r="BO26" s="146" t="s">
        <v>360</v>
      </c>
      <c r="BP26" s="146" t="s">
        <v>361</v>
      </c>
      <c r="BQ26" s="146" t="s">
        <v>361</v>
      </c>
      <c r="BR26" s="146" t="s">
        <v>361</v>
      </c>
      <c r="BS26" s="146" t="s">
        <v>361</v>
      </c>
      <c r="BT26" s="146" t="s">
        <v>361</v>
      </c>
      <c r="BU26" s="146" t="s">
        <v>361</v>
      </c>
      <c r="BV26" s="146" t="s">
        <v>361</v>
      </c>
      <c r="BW26" s="146" t="s">
        <v>361</v>
      </c>
      <c r="BX26" s="146" t="s">
        <v>361</v>
      </c>
      <c r="BY26" s="146" t="s">
        <v>361</v>
      </c>
      <c r="BZ26" s="149" t="s">
        <v>361</v>
      </c>
    </row>
    <row r="27" spans="1:78" s="2" customFormat="1" x14ac:dyDescent="0.25">
      <c r="A27" s="181" t="s">
        <v>297</v>
      </c>
      <c r="B27" s="146" t="s">
        <v>361</v>
      </c>
      <c r="C27" s="146" t="s">
        <v>361</v>
      </c>
      <c r="D27" s="146" t="s">
        <v>360</v>
      </c>
      <c r="E27" s="146" t="s">
        <v>361</v>
      </c>
      <c r="F27" s="146" t="s">
        <v>361</v>
      </c>
      <c r="G27" s="146" t="s">
        <v>361</v>
      </c>
      <c r="H27" s="146" t="s">
        <v>360</v>
      </c>
      <c r="I27" s="146" t="s">
        <v>361</v>
      </c>
      <c r="J27" s="149" t="s">
        <v>361</v>
      </c>
      <c r="K27" s="181" t="s">
        <v>297</v>
      </c>
      <c r="L27" s="146" t="str">
        <f>LOOKUP($K27,PantheonList!$A$18:$A$139,PantheonList!$B$18:$B$139)</f>
        <v>Animal Ken</v>
      </c>
      <c r="M27" s="146" t="str">
        <f>LOOKUP($K27,PantheonList!$A$18:$A$139,PantheonList!$C$18:$C$139)</f>
        <v>Awareness</v>
      </c>
      <c r="N27" s="146" t="str">
        <f>LOOKUP($K27,PantheonList!$A$18:$A$139,PantheonList!$D$18:$D$139)</f>
        <v>Command</v>
      </c>
      <c r="O27" s="146" t="str">
        <f>LOOKUP($K27,PantheonList!$A$18:$A$139,PantheonList!$E$18:$E$139)</f>
        <v>Empathy</v>
      </c>
      <c r="P27" s="146" t="str">
        <f>LOOKUP($K27,PantheonList!$A$18:$A$139,PantheonList!$F$18:$F$139)</f>
        <v>Fortitude</v>
      </c>
      <c r="Q27" s="146" t="str">
        <f>LOOKUP($K27,PantheonList!$A$18:$A$139,PantheonList!$G$18:$G$139)</f>
        <v>Integrity</v>
      </c>
      <c r="R27" s="146" t="str">
        <f t="shared" si="4"/>
        <v>No</v>
      </c>
      <c r="S27" s="146" t="str">
        <f t="shared" si="4"/>
        <v>Yes</v>
      </c>
      <c r="T27" s="146" t="str">
        <f t="shared" si="4"/>
        <v>No</v>
      </c>
      <c r="U27" s="146" t="str">
        <f t="shared" si="4"/>
        <v>No</v>
      </c>
      <c r="V27" s="146" t="str">
        <f t="shared" si="4"/>
        <v>Yes</v>
      </c>
      <c r="W27" s="146" t="str">
        <f t="shared" si="4"/>
        <v>No</v>
      </c>
      <c r="X27" s="146" t="str">
        <f t="shared" si="4"/>
        <v>Yes</v>
      </c>
      <c r="Y27" s="146" t="str">
        <f t="shared" si="4"/>
        <v>No</v>
      </c>
      <c r="Z27" s="146" t="str">
        <f t="shared" si="4"/>
        <v>No</v>
      </c>
      <c r="AA27" s="146" t="str">
        <f t="shared" si="4"/>
        <v>Yes</v>
      </c>
      <c r="AB27" s="146" t="str">
        <f t="shared" si="5"/>
        <v>Yes</v>
      </c>
      <c r="AC27" s="146" t="str">
        <f t="shared" si="5"/>
        <v>Yes</v>
      </c>
      <c r="AD27" s="146" t="str">
        <f t="shared" si="5"/>
        <v>No</v>
      </c>
      <c r="AE27" s="146" t="str">
        <f t="shared" si="5"/>
        <v>No</v>
      </c>
      <c r="AF27" s="146" t="str">
        <f t="shared" si="5"/>
        <v>No</v>
      </c>
      <c r="AG27" s="146" t="str">
        <f t="shared" si="5"/>
        <v>No</v>
      </c>
      <c r="AH27" s="146" t="str">
        <f t="shared" si="5"/>
        <v>No</v>
      </c>
      <c r="AI27" s="146" t="str">
        <f t="shared" si="5"/>
        <v>No</v>
      </c>
      <c r="AJ27" s="146" t="str">
        <f t="shared" si="5"/>
        <v>No</v>
      </c>
      <c r="AK27" s="146" t="str">
        <f t="shared" si="5"/>
        <v>No</v>
      </c>
      <c r="AL27" s="146" t="str">
        <f t="shared" si="5"/>
        <v>No</v>
      </c>
      <c r="AM27" s="146" t="str">
        <f t="shared" si="5"/>
        <v>No</v>
      </c>
      <c r="AN27" s="146" t="str">
        <f t="shared" si="5"/>
        <v>No</v>
      </c>
      <c r="AO27" s="149" t="str">
        <f t="shared" si="5"/>
        <v>No</v>
      </c>
      <c r="AP27" s="181" t="s">
        <v>297</v>
      </c>
      <c r="AQ27" s="146">
        <v>27</v>
      </c>
      <c r="AR27" s="146" t="s">
        <v>361</v>
      </c>
      <c r="AS27" s="146" t="s">
        <v>361</v>
      </c>
      <c r="AT27" s="146" t="s">
        <v>361</v>
      </c>
      <c r="AU27" s="146" t="s">
        <v>361</v>
      </c>
      <c r="AV27" s="146" t="s">
        <v>361</v>
      </c>
      <c r="AW27" s="146" t="s">
        <v>361</v>
      </c>
      <c r="AX27" s="146" t="s">
        <v>361</v>
      </c>
      <c r="AY27" s="146" t="s">
        <v>361</v>
      </c>
      <c r="AZ27" s="146" t="s">
        <v>360</v>
      </c>
      <c r="BA27" s="146" t="s">
        <v>360</v>
      </c>
      <c r="BB27" s="146" t="s">
        <v>360</v>
      </c>
      <c r="BC27" s="146" t="s">
        <v>361</v>
      </c>
      <c r="BD27" s="146" t="s">
        <v>361</v>
      </c>
      <c r="BE27" s="146" t="s">
        <v>360</v>
      </c>
      <c r="BF27" s="146" t="s">
        <v>361</v>
      </c>
      <c r="BG27" s="146" t="s">
        <v>361</v>
      </c>
      <c r="BH27" s="146" t="s">
        <v>361</v>
      </c>
      <c r="BI27" s="146" t="s">
        <v>361</v>
      </c>
      <c r="BJ27" s="146" t="s">
        <v>361</v>
      </c>
      <c r="BK27" s="146" t="s">
        <v>361</v>
      </c>
      <c r="BL27" s="146" t="s">
        <v>361</v>
      </c>
      <c r="BM27" s="146" t="s">
        <v>361</v>
      </c>
      <c r="BN27" s="146" t="s">
        <v>361</v>
      </c>
      <c r="BO27" s="146" t="s">
        <v>361</v>
      </c>
      <c r="BP27" s="146" t="s">
        <v>361</v>
      </c>
      <c r="BQ27" s="146" t="s">
        <v>361</v>
      </c>
      <c r="BR27" s="146" t="s">
        <v>361</v>
      </c>
      <c r="BS27" s="146" t="s">
        <v>361</v>
      </c>
      <c r="BT27" s="146" t="s">
        <v>361</v>
      </c>
      <c r="BU27" s="146" t="s">
        <v>361</v>
      </c>
      <c r="BV27" s="146" t="s">
        <v>361</v>
      </c>
      <c r="BW27" s="146" t="s">
        <v>361</v>
      </c>
      <c r="BX27" s="146" t="s">
        <v>361</v>
      </c>
      <c r="BY27" s="146" t="s">
        <v>361</v>
      </c>
      <c r="BZ27" s="149" t="s">
        <v>360</v>
      </c>
    </row>
    <row r="28" spans="1:78" s="2" customFormat="1" x14ac:dyDescent="0.25">
      <c r="A28" s="181" t="s">
        <v>328</v>
      </c>
      <c r="B28" s="146" t="s">
        <v>361</v>
      </c>
      <c r="C28" s="146" t="s">
        <v>360</v>
      </c>
      <c r="D28" s="146" t="s">
        <v>361</v>
      </c>
      <c r="E28" s="146" t="s">
        <v>361</v>
      </c>
      <c r="F28" s="146" t="s">
        <v>361</v>
      </c>
      <c r="G28" s="146" t="s">
        <v>361</v>
      </c>
      <c r="H28" s="146" t="s">
        <v>361</v>
      </c>
      <c r="I28" s="146" t="s">
        <v>361</v>
      </c>
      <c r="J28" s="149" t="s">
        <v>360</v>
      </c>
      <c r="K28" s="181" t="s">
        <v>328</v>
      </c>
      <c r="L28" s="146" t="str">
        <f>LOOKUP($K28,PantheonList!$A$18:$A$139,PantheonList!$B$18:$B$139)</f>
        <v>Command</v>
      </c>
      <c r="M28" s="146" t="str">
        <f>LOOKUP($K28,PantheonList!$A$18:$A$139,PantheonList!$C$18:$C$139)</f>
        <v>Control</v>
      </c>
      <c r="N28" s="146" t="str">
        <f>LOOKUP($K28,PantheonList!$A$18:$A$139,PantheonList!$D$18:$D$139)</f>
        <v>Investigation</v>
      </c>
      <c r="O28" s="146" t="str">
        <f>LOOKUP($K28,PantheonList!$A$18:$A$139,PantheonList!$E$18:$E$139)</f>
        <v>Marksmanship</v>
      </c>
      <c r="P28" s="146" t="str">
        <f>LOOKUP($K28,PantheonList!$A$18:$A$139,PantheonList!$F$18:$F$139)</f>
        <v>Melee</v>
      </c>
      <c r="Q28" s="146" t="str">
        <f>LOOKUP($K28,PantheonList!$A$18:$A$139,PantheonList!$G$18:$G$139)</f>
        <v>Presence</v>
      </c>
      <c r="R28" s="146" t="str">
        <f t="shared" si="4"/>
        <v>No</v>
      </c>
      <c r="S28" s="146" t="str">
        <f t="shared" si="4"/>
        <v>No</v>
      </c>
      <c r="T28" s="146" t="str">
        <f t="shared" si="4"/>
        <v>No</v>
      </c>
      <c r="U28" s="146" t="str">
        <f t="shared" si="4"/>
        <v>No</v>
      </c>
      <c r="V28" s="146" t="str">
        <f t="shared" si="4"/>
        <v>No</v>
      </c>
      <c r="W28" s="146" t="str">
        <f t="shared" si="4"/>
        <v>No</v>
      </c>
      <c r="X28" s="146" t="str">
        <f t="shared" si="4"/>
        <v>Yes</v>
      </c>
      <c r="Y28" s="146" t="str">
        <f t="shared" si="4"/>
        <v>Yes</v>
      </c>
      <c r="Z28" s="146" t="str">
        <f t="shared" si="4"/>
        <v>No</v>
      </c>
      <c r="AA28" s="146" t="str">
        <f t="shared" si="4"/>
        <v>No</v>
      </c>
      <c r="AB28" s="146" t="str">
        <f t="shared" si="5"/>
        <v>No</v>
      </c>
      <c r="AC28" s="146" t="str">
        <f t="shared" si="5"/>
        <v>No</v>
      </c>
      <c r="AD28" s="146" t="str">
        <f t="shared" si="5"/>
        <v>Yes</v>
      </c>
      <c r="AE28" s="146" t="str">
        <f t="shared" si="5"/>
        <v>No</v>
      </c>
      <c r="AF28" s="146" t="str">
        <f t="shared" si="5"/>
        <v>Yes</v>
      </c>
      <c r="AG28" s="146" t="str">
        <f t="shared" si="5"/>
        <v>No</v>
      </c>
      <c r="AH28" s="146" t="str">
        <f t="shared" si="5"/>
        <v>Yes</v>
      </c>
      <c r="AI28" s="146" t="str">
        <f t="shared" si="5"/>
        <v>No</v>
      </c>
      <c r="AJ28" s="146" t="str">
        <f t="shared" si="5"/>
        <v>No</v>
      </c>
      <c r="AK28" s="146" t="str">
        <f t="shared" si="5"/>
        <v>Yes</v>
      </c>
      <c r="AL28" s="146" t="str">
        <f t="shared" si="5"/>
        <v>No</v>
      </c>
      <c r="AM28" s="146" t="str">
        <f t="shared" si="5"/>
        <v>No</v>
      </c>
      <c r="AN28" s="146" t="str">
        <f t="shared" si="5"/>
        <v>No</v>
      </c>
      <c r="AO28" s="149" t="str">
        <f t="shared" si="5"/>
        <v>No</v>
      </c>
      <c r="AP28" s="181" t="s">
        <v>328</v>
      </c>
      <c r="AQ28" s="146">
        <v>28</v>
      </c>
      <c r="AR28" s="146" t="s">
        <v>361</v>
      </c>
      <c r="AS28" s="146" t="s">
        <v>361</v>
      </c>
      <c r="AT28" s="146" t="s">
        <v>361</v>
      </c>
      <c r="AU28" s="146" t="s">
        <v>361</v>
      </c>
      <c r="AV28" s="146" t="s">
        <v>361</v>
      </c>
      <c r="AW28" s="146" t="s">
        <v>360</v>
      </c>
      <c r="AX28" s="146" t="s">
        <v>361</v>
      </c>
      <c r="AY28" s="146" t="s">
        <v>361</v>
      </c>
      <c r="AZ28" s="146" t="s">
        <v>361</v>
      </c>
      <c r="BA28" s="146" t="s">
        <v>361</v>
      </c>
      <c r="BB28" s="146" t="s">
        <v>361</v>
      </c>
      <c r="BC28" s="146" t="s">
        <v>361</v>
      </c>
      <c r="BD28" s="146" t="s">
        <v>361</v>
      </c>
      <c r="BE28" s="146" t="s">
        <v>360</v>
      </c>
      <c r="BF28" s="146" t="s">
        <v>361</v>
      </c>
      <c r="BG28" s="146" t="s">
        <v>361</v>
      </c>
      <c r="BH28" s="146" t="s">
        <v>361</v>
      </c>
      <c r="BI28" s="146" t="s">
        <v>361</v>
      </c>
      <c r="BJ28" s="146" t="s">
        <v>361</v>
      </c>
      <c r="BK28" s="146" t="s">
        <v>361</v>
      </c>
      <c r="BL28" s="146" t="s">
        <v>361</v>
      </c>
      <c r="BM28" s="146" t="s">
        <v>361</v>
      </c>
      <c r="BN28" s="146" t="s">
        <v>361</v>
      </c>
      <c r="BO28" s="146" t="s">
        <v>361</v>
      </c>
      <c r="BP28" s="146" t="s">
        <v>361</v>
      </c>
      <c r="BQ28" s="146" t="s">
        <v>361</v>
      </c>
      <c r="BR28" s="146" t="s">
        <v>361</v>
      </c>
      <c r="BS28" s="146" t="s">
        <v>361</v>
      </c>
      <c r="BT28" s="146" t="s">
        <v>361</v>
      </c>
      <c r="BU28" s="146" t="s">
        <v>361</v>
      </c>
      <c r="BV28" s="146" t="s">
        <v>361</v>
      </c>
      <c r="BW28" s="146" t="s">
        <v>361</v>
      </c>
      <c r="BX28" s="146" t="s">
        <v>361</v>
      </c>
      <c r="BY28" s="146" t="s">
        <v>360</v>
      </c>
      <c r="BZ28" s="149" t="s">
        <v>361</v>
      </c>
    </row>
    <row r="29" spans="1:78" s="2" customFormat="1" x14ac:dyDescent="0.25">
      <c r="A29" s="181" t="s">
        <v>298</v>
      </c>
      <c r="B29" s="146" t="s">
        <v>361</v>
      </c>
      <c r="C29" s="146" t="s">
        <v>360</v>
      </c>
      <c r="D29" s="146" t="s">
        <v>361</v>
      </c>
      <c r="E29" s="146" t="s">
        <v>361</v>
      </c>
      <c r="F29" s="146" t="s">
        <v>361</v>
      </c>
      <c r="G29" s="146" t="s">
        <v>361</v>
      </c>
      <c r="H29" s="146" t="s">
        <v>360</v>
      </c>
      <c r="I29" s="146" t="s">
        <v>360</v>
      </c>
      <c r="J29" s="149" t="s">
        <v>361</v>
      </c>
      <c r="K29" s="181" t="s">
        <v>298</v>
      </c>
      <c r="L29" s="146" t="str">
        <f>LOOKUP($K29,PantheonList!$A$18:$A$139,PantheonList!$B$18:$B$139)</f>
        <v>Craft</v>
      </c>
      <c r="M29" s="146" t="str">
        <f>LOOKUP($K29,PantheonList!$A$18:$A$139,PantheonList!$C$18:$C$139)</f>
        <v>Empathy</v>
      </c>
      <c r="N29" s="146" t="str">
        <f>LOOKUP($K29,PantheonList!$A$18:$A$139,PantheonList!$D$18:$D$139)</f>
        <v>Medicine</v>
      </c>
      <c r="O29" s="146" t="str">
        <f>LOOKUP($K29,PantheonList!$A$18:$A$139,PantheonList!$E$18:$E$139)</f>
        <v>Occult</v>
      </c>
      <c r="P29" s="146" t="str">
        <f>LOOKUP($K29,PantheonList!$A$18:$A$139,PantheonList!$F$18:$F$139)</f>
        <v>Presence</v>
      </c>
      <c r="Q29" s="146" t="str">
        <f>LOOKUP($K29,PantheonList!$A$18:$A$139,PantheonList!$G$18:$G$139)</f>
        <v>Survival</v>
      </c>
      <c r="R29" s="146" t="str">
        <f t="shared" si="4"/>
        <v>No</v>
      </c>
      <c r="S29" s="146" t="str">
        <f t="shared" si="4"/>
        <v>No</v>
      </c>
      <c r="T29" s="146" t="str">
        <f t="shared" si="4"/>
        <v>No</v>
      </c>
      <c r="U29" s="146" t="str">
        <f t="shared" si="4"/>
        <v>No</v>
      </c>
      <c r="V29" s="146" t="str">
        <f t="shared" si="4"/>
        <v>No</v>
      </c>
      <c r="W29" s="146" t="str">
        <f t="shared" si="4"/>
        <v>No</v>
      </c>
      <c r="X29" s="146" t="str">
        <f t="shared" si="4"/>
        <v>No</v>
      </c>
      <c r="Y29" s="146" t="str">
        <f t="shared" si="4"/>
        <v>No</v>
      </c>
      <c r="Z29" s="146" t="str">
        <f t="shared" si="4"/>
        <v>Yes</v>
      </c>
      <c r="AA29" s="146" t="str">
        <f t="shared" si="4"/>
        <v>Yes</v>
      </c>
      <c r="AB29" s="146" t="str">
        <f t="shared" si="5"/>
        <v>No</v>
      </c>
      <c r="AC29" s="146" t="str">
        <f t="shared" si="5"/>
        <v>No</v>
      </c>
      <c r="AD29" s="146" t="str">
        <f t="shared" si="5"/>
        <v>No</v>
      </c>
      <c r="AE29" s="146" t="str">
        <f t="shared" si="5"/>
        <v>No</v>
      </c>
      <c r="AF29" s="146" t="str">
        <f t="shared" si="5"/>
        <v>No</v>
      </c>
      <c r="AG29" s="146" t="str">
        <f t="shared" si="5"/>
        <v>Yes</v>
      </c>
      <c r="AH29" s="146" t="str">
        <f t="shared" si="5"/>
        <v>No</v>
      </c>
      <c r="AI29" s="146" t="str">
        <f t="shared" si="5"/>
        <v>Yes</v>
      </c>
      <c r="AJ29" s="146" t="str">
        <f t="shared" si="5"/>
        <v>No</v>
      </c>
      <c r="AK29" s="146" t="str">
        <f t="shared" si="5"/>
        <v>Yes</v>
      </c>
      <c r="AL29" s="146" t="str">
        <f t="shared" si="5"/>
        <v>No</v>
      </c>
      <c r="AM29" s="146" t="str">
        <f t="shared" si="5"/>
        <v>No</v>
      </c>
      <c r="AN29" s="146" t="str">
        <f t="shared" si="5"/>
        <v>Yes</v>
      </c>
      <c r="AO29" s="149" t="str">
        <f t="shared" si="5"/>
        <v>No</v>
      </c>
      <c r="AP29" s="181" t="s">
        <v>298</v>
      </c>
      <c r="AQ29" s="146">
        <v>29</v>
      </c>
      <c r="AR29" s="146" t="s">
        <v>361</v>
      </c>
      <c r="AS29" s="146" t="s">
        <v>361</v>
      </c>
      <c r="AT29" s="146" t="s">
        <v>361</v>
      </c>
      <c r="AU29" s="146" t="s">
        <v>361</v>
      </c>
      <c r="AV29" s="146" t="s">
        <v>361</v>
      </c>
      <c r="AW29" s="146" t="s">
        <v>361</v>
      </c>
      <c r="AX29" s="146" t="s">
        <v>361</v>
      </c>
      <c r="AY29" s="146" t="s">
        <v>361</v>
      </c>
      <c r="AZ29" s="146" t="s">
        <v>361</v>
      </c>
      <c r="BA29" s="146" t="s">
        <v>360</v>
      </c>
      <c r="BB29" s="146" t="s">
        <v>361</v>
      </c>
      <c r="BC29" s="146" t="s">
        <v>361</v>
      </c>
      <c r="BD29" s="146" t="s">
        <v>361</v>
      </c>
      <c r="BE29" s="146" t="s">
        <v>361</v>
      </c>
      <c r="BF29" s="146" t="s">
        <v>360</v>
      </c>
      <c r="BG29" s="146" t="s">
        <v>361</v>
      </c>
      <c r="BH29" s="146" t="s">
        <v>361</v>
      </c>
      <c r="BI29" s="146" t="s">
        <v>361</v>
      </c>
      <c r="BJ29" s="146" t="s">
        <v>361</v>
      </c>
      <c r="BK29" s="146" t="s">
        <v>361</v>
      </c>
      <c r="BL29" s="146" t="s">
        <v>361</v>
      </c>
      <c r="BM29" s="146" t="s">
        <v>360</v>
      </c>
      <c r="BN29" s="146" t="s">
        <v>361</v>
      </c>
      <c r="BO29" s="146" t="s">
        <v>361</v>
      </c>
      <c r="BP29" s="146" t="s">
        <v>361</v>
      </c>
      <c r="BQ29" s="146" t="s">
        <v>361</v>
      </c>
      <c r="BR29" s="146" t="s">
        <v>361</v>
      </c>
      <c r="BS29" s="146" t="s">
        <v>361</v>
      </c>
      <c r="BT29" s="146" t="s">
        <v>361</v>
      </c>
      <c r="BU29" s="146" t="s">
        <v>361</v>
      </c>
      <c r="BV29" s="146" t="s">
        <v>361</v>
      </c>
      <c r="BW29" s="146" t="s">
        <v>361</v>
      </c>
      <c r="BX29" s="146" t="s">
        <v>361</v>
      </c>
      <c r="BY29" s="146" t="s">
        <v>361</v>
      </c>
      <c r="BZ29" s="149" t="s">
        <v>360</v>
      </c>
    </row>
    <row r="30" spans="1:78" s="2" customFormat="1" x14ac:dyDescent="0.25">
      <c r="A30" s="181" t="s">
        <v>267</v>
      </c>
      <c r="B30" s="146" t="s">
        <v>361</v>
      </c>
      <c r="C30" s="146" t="s">
        <v>361</v>
      </c>
      <c r="D30" s="146" t="s">
        <v>360</v>
      </c>
      <c r="E30" s="146" t="s">
        <v>360</v>
      </c>
      <c r="F30" s="146" t="s">
        <v>361</v>
      </c>
      <c r="G30" s="146" t="s">
        <v>361</v>
      </c>
      <c r="H30" s="146" t="s">
        <v>361</v>
      </c>
      <c r="I30" s="146" t="s">
        <v>361</v>
      </c>
      <c r="J30" s="149" t="s">
        <v>361</v>
      </c>
      <c r="K30" s="181" t="s">
        <v>267</v>
      </c>
      <c r="L30" s="146" t="str">
        <f>LOOKUP($K30,PantheonList!$A$18:$A$139,PantheonList!$B$18:$B$139)</f>
        <v>Art</v>
      </c>
      <c r="M30" s="146" t="str">
        <f>LOOKUP($K30,PantheonList!$A$18:$A$139,PantheonList!$C$18:$C$139)</f>
        <v>Empathy</v>
      </c>
      <c r="N30" s="146" t="str">
        <f>LOOKUP($K30,PantheonList!$A$18:$A$139,PantheonList!$D$18:$D$139)</f>
        <v>Integrity</v>
      </c>
      <c r="O30" s="146" t="str">
        <f>LOOKUP($K30,PantheonList!$A$18:$A$139,PantheonList!$E$18:$E$139)</f>
        <v>Fortitude</v>
      </c>
      <c r="P30" s="146" t="str">
        <f>LOOKUP($K30,PantheonList!$A$18:$A$139,PantheonList!$F$18:$F$139)</f>
        <v>Occult</v>
      </c>
      <c r="Q30" s="146" t="str">
        <f>LOOKUP($K30,PantheonList!$A$18:$A$139,PantheonList!$G$18:$G$139)</f>
        <v>Presence</v>
      </c>
      <c r="R30" s="146" t="str">
        <f t="shared" si="4"/>
        <v>No</v>
      </c>
      <c r="S30" s="146" t="str">
        <f t="shared" si="4"/>
        <v>No</v>
      </c>
      <c r="T30" s="146" t="str">
        <f t="shared" si="4"/>
        <v>Yes</v>
      </c>
      <c r="U30" s="146" t="str">
        <f t="shared" si="4"/>
        <v>No</v>
      </c>
      <c r="V30" s="146" t="str">
        <f t="shared" si="4"/>
        <v>No</v>
      </c>
      <c r="W30" s="146" t="str">
        <f t="shared" si="4"/>
        <v>No</v>
      </c>
      <c r="X30" s="146" t="str">
        <f t="shared" si="4"/>
        <v>No</v>
      </c>
      <c r="Y30" s="146" t="str">
        <f t="shared" si="4"/>
        <v>No</v>
      </c>
      <c r="Z30" s="146" t="str">
        <f t="shared" si="4"/>
        <v>No</v>
      </c>
      <c r="AA30" s="146" t="str">
        <f t="shared" si="4"/>
        <v>Yes</v>
      </c>
      <c r="AB30" s="146" t="str">
        <f t="shared" si="5"/>
        <v>Yes</v>
      </c>
      <c r="AC30" s="146" t="str">
        <f t="shared" si="5"/>
        <v>Yes</v>
      </c>
      <c r="AD30" s="146" t="str">
        <f t="shared" si="5"/>
        <v>No</v>
      </c>
      <c r="AE30" s="146" t="str">
        <f t="shared" si="5"/>
        <v>No</v>
      </c>
      <c r="AF30" s="146" t="str">
        <f t="shared" si="5"/>
        <v>No</v>
      </c>
      <c r="AG30" s="146" t="str">
        <f t="shared" si="5"/>
        <v>No</v>
      </c>
      <c r="AH30" s="146" t="str">
        <f t="shared" si="5"/>
        <v>No</v>
      </c>
      <c r="AI30" s="146" t="str">
        <f t="shared" si="5"/>
        <v>Yes</v>
      </c>
      <c r="AJ30" s="146" t="str">
        <f t="shared" si="5"/>
        <v>No</v>
      </c>
      <c r="AK30" s="146" t="str">
        <f t="shared" si="5"/>
        <v>Yes</v>
      </c>
      <c r="AL30" s="146" t="str">
        <f t="shared" si="5"/>
        <v>No</v>
      </c>
      <c r="AM30" s="146" t="str">
        <f t="shared" si="5"/>
        <v>No</v>
      </c>
      <c r="AN30" s="146" t="str">
        <f t="shared" si="5"/>
        <v>No</v>
      </c>
      <c r="AO30" s="149" t="str">
        <f t="shared" si="5"/>
        <v>No</v>
      </c>
      <c r="AP30" s="181" t="s">
        <v>267</v>
      </c>
      <c r="AQ30" s="146">
        <v>30</v>
      </c>
      <c r="AR30" s="146" t="s">
        <v>361</v>
      </c>
      <c r="AS30" s="146" t="s">
        <v>360</v>
      </c>
      <c r="AT30" s="146" t="s">
        <v>361</v>
      </c>
      <c r="AU30" s="146" t="s">
        <v>360</v>
      </c>
      <c r="AV30" s="146" t="s">
        <v>361</v>
      </c>
      <c r="AW30" s="146" t="s">
        <v>361</v>
      </c>
      <c r="AX30" s="146" t="s">
        <v>361</v>
      </c>
      <c r="AY30" s="146" t="s">
        <v>361</v>
      </c>
      <c r="AZ30" s="146" t="s">
        <v>361</v>
      </c>
      <c r="BA30" s="146" t="s">
        <v>361</v>
      </c>
      <c r="BB30" s="146" t="s">
        <v>360</v>
      </c>
      <c r="BC30" s="146" t="s">
        <v>361</v>
      </c>
      <c r="BD30" s="146" t="s">
        <v>361</v>
      </c>
      <c r="BE30" s="146" t="s">
        <v>361</v>
      </c>
      <c r="BF30" s="146" t="s">
        <v>361</v>
      </c>
      <c r="BG30" s="146" t="s">
        <v>361</v>
      </c>
      <c r="BH30" s="146" t="s">
        <v>361</v>
      </c>
      <c r="BI30" s="146" t="s">
        <v>361</v>
      </c>
      <c r="BJ30" s="146" t="s">
        <v>361</v>
      </c>
      <c r="BK30" s="146" t="s">
        <v>361</v>
      </c>
      <c r="BL30" s="146" t="s">
        <v>361</v>
      </c>
      <c r="BM30" s="146" t="s">
        <v>361</v>
      </c>
      <c r="BN30" s="146" t="s">
        <v>361</v>
      </c>
      <c r="BO30" s="146" t="s">
        <v>360</v>
      </c>
      <c r="BP30" s="146" t="s">
        <v>361</v>
      </c>
      <c r="BQ30" s="146" t="s">
        <v>361</v>
      </c>
      <c r="BR30" s="146" t="s">
        <v>361</v>
      </c>
      <c r="BS30" s="146" t="s">
        <v>361</v>
      </c>
      <c r="BT30" s="146" t="s">
        <v>361</v>
      </c>
      <c r="BU30" s="146" t="s">
        <v>361</v>
      </c>
      <c r="BV30" s="146" t="s">
        <v>361</v>
      </c>
      <c r="BW30" s="146" t="s">
        <v>361</v>
      </c>
      <c r="BX30" s="146" t="s">
        <v>361</v>
      </c>
      <c r="BY30" s="146" t="s">
        <v>361</v>
      </c>
      <c r="BZ30" s="149" t="s">
        <v>361</v>
      </c>
    </row>
    <row r="31" spans="1:78" s="2" customFormat="1" x14ac:dyDescent="0.25">
      <c r="A31" s="181" t="s">
        <v>278</v>
      </c>
      <c r="B31" s="146" t="s">
        <v>361</v>
      </c>
      <c r="C31" s="146" t="s">
        <v>361</v>
      </c>
      <c r="D31" s="146" t="s">
        <v>361</v>
      </c>
      <c r="E31" s="146" t="s">
        <v>360</v>
      </c>
      <c r="F31" s="146" t="s">
        <v>361</v>
      </c>
      <c r="G31" s="146" t="s">
        <v>360</v>
      </c>
      <c r="H31" s="146" t="s">
        <v>361</v>
      </c>
      <c r="I31" s="146" t="s">
        <v>361</v>
      </c>
      <c r="J31" s="149" t="s">
        <v>361</v>
      </c>
      <c r="K31" s="181" t="s">
        <v>278</v>
      </c>
      <c r="L31" s="146" t="str">
        <f>LOOKUP($K31,PantheonList!$A$18:$A$139,PantheonList!$B$18:$B$139)</f>
        <v>Art</v>
      </c>
      <c r="M31" s="146" t="str">
        <f>LOOKUP($K31,PantheonList!$A$18:$A$139,PantheonList!$C$18:$C$139)</f>
        <v>Athletics</v>
      </c>
      <c r="N31" s="146" t="str">
        <f>LOOKUP($K31,PantheonList!$A$18:$A$139,PantheonList!$D$18:$D$139)</f>
        <v>Empathy</v>
      </c>
      <c r="O31" s="146" t="str">
        <f>LOOKUP($K31,PantheonList!$A$18:$A$139,PantheonList!$E$18:$E$139)</f>
        <v>Integrity</v>
      </c>
      <c r="P31" s="146" t="str">
        <f>LOOKUP($K31,PantheonList!$A$18:$A$139,PantheonList!$F$18:$F$139)</f>
        <v>Presence</v>
      </c>
      <c r="Q31" s="146" t="str">
        <f>LOOKUP($K31,PantheonList!$A$18:$A$139,PantheonList!$G$18:$G$139)</f>
        <v>Survival</v>
      </c>
      <c r="R31" s="146" t="str">
        <f t="shared" si="4"/>
        <v>No</v>
      </c>
      <c r="S31" s="146" t="str">
        <f t="shared" si="4"/>
        <v>No</v>
      </c>
      <c r="T31" s="146" t="str">
        <f t="shared" si="4"/>
        <v>Yes</v>
      </c>
      <c r="U31" s="146" t="str">
        <f t="shared" si="4"/>
        <v>Yes</v>
      </c>
      <c r="V31" s="146" t="str">
        <f t="shared" si="4"/>
        <v>No</v>
      </c>
      <c r="W31" s="146" t="str">
        <f t="shared" si="4"/>
        <v>No</v>
      </c>
      <c r="X31" s="146" t="str">
        <f t="shared" si="4"/>
        <v>No</v>
      </c>
      <c r="Y31" s="146" t="str">
        <f t="shared" si="4"/>
        <v>No</v>
      </c>
      <c r="Z31" s="146" t="str">
        <f t="shared" si="4"/>
        <v>No</v>
      </c>
      <c r="AA31" s="146" t="str">
        <f t="shared" si="4"/>
        <v>Yes</v>
      </c>
      <c r="AB31" s="146" t="str">
        <f t="shared" si="5"/>
        <v>No</v>
      </c>
      <c r="AC31" s="146" t="str">
        <f t="shared" si="5"/>
        <v>Yes</v>
      </c>
      <c r="AD31" s="146" t="str">
        <f t="shared" si="5"/>
        <v>No</v>
      </c>
      <c r="AE31" s="146" t="str">
        <f t="shared" si="5"/>
        <v>No</v>
      </c>
      <c r="AF31" s="146" t="str">
        <f t="shared" si="5"/>
        <v>No</v>
      </c>
      <c r="AG31" s="146" t="str">
        <f t="shared" si="5"/>
        <v>No</v>
      </c>
      <c r="AH31" s="146" t="str">
        <f t="shared" si="5"/>
        <v>No</v>
      </c>
      <c r="AI31" s="146" t="str">
        <f t="shared" si="5"/>
        <v>No</v>
      </c>
      <c r="AJ31" s="146" t="str">
        <f t="shared" si="5"/>
        <v>No</v>
      </c>
      <c r="AK31" s="146" t="str">
        <f t="shared" si="5"/>
        <v>Yes</v>
      </c>
      <c r="AL31" s="146" t="str">
        <f t="shared" si="5"/>
        <v>No</v>
      </c>
      <c r="AM31" s="146" t="str">
        <f t="shared" si="5"/>
        <v>No</v>
      </c>
      <c r="AN31" s="146" t="str">
        <f t="shared" si="5"/>
        <v>Yes</v>
      </c>
      <c r="AO31" s="149" t="str">
        <f t="shared" si="5"/>
        <v>No</v>
      </c>
      <c r="AP31" s="181" t="s">
        <v>278</v>
      </c>
      <c r="AQ31" s="146">
        <v>31</v>
      </c>
      <c r="AR31" s="146" t="s">
        <v>361</v>
      </c>
      <c r="AS31" s="146" t="s">
        <v>361</v>
      </c>
      <c r="AT31" s="146" t="s">
        <v>361</v>
      </c>
      <c r="AU31" s="146" t="s">
        <v>361</v>
      </c>
      <c r="AV31" s="146" t="s">
        <v>360</v>
      </c>
      <c r="AW31" s="146" t="s">
        <v>361</v>
      </c>
      <c r="AX31" s="146" t="s">
        <v>361</v>
      </c>
      <c r="AY31" s="146" t="s">
        <v>361</v>
      </c>
      <c r="AZ31" s="146" t="s">
        <v>361</v>
      </c>
      <c r="BA31" s="146" t="s">
        <v>361</v>
      </c>
      <c r="BB31" s="146" t="s">
        <v>361</v>
      </c>
      <c r="BC31" s="146" t="s">
        <v>361</v>
      </c>
      <c r="BD31" s="146" t="s">
        <v>361</v>
      </c>
      <c r="BE31" s="146" t="s">
        <v>360</v>
      </c>
      <c r="BF31" s="146" t="s">
        <v>361</v>
      </c>
      <c r="BG31" s="146" t="s">
        <v>361</v>
      </c>
      <c r="BH31" s="146" t="s">
        <v>361</v>
      </c>
      <c r="BI31" s="146" t="s">
        <v>361</v>
      </c>
      <c r="BJ31" s="146" t="s">
        <v>361</v>
      </c>
      <c r="BK31" s="146" t="s">
        <v>361</v>
      </c>
      <c r="BL31" s="146" t="s">
        <v>361</v>
      </c>
      <c r="BM31" s="146" t="s">
        <v>361</v>
      </c>
      <c r="BN31" s="146" t="s">
        <v>361</v>
      </c>
      <c r="BO31" s="146" t="s">
        <v>361</v>
      </c>
      <c r="BP31" s="146" t="s">
        <v>361</v>
      </c>
      <c r="BQ31" s="146" t="s">
        <v>361</v>
      </c>
      <c r="BR31" s="146" t="s">
        <v>361</v>
      </c>
      <c r="BS31" s="146" t="s">
        <v>361</v>
      </c>
      <c r="BT31" s="146" t="s">
        <v>361</v>
      </c>
      <c r="BU31" s="146" t="s">
        <v>361</v>
      </c>
      <c r="BV31" s="146" t="s">
        <v>361</v>
      </c>
      <c r="BW31" s="146" t="s">
        <v>361</v>
      </c>
      <c r="BX31" s="146" t="s">
        <v>361</v>
      </c>
      <c r="BY31" s="146" t="s">
        <v>360</v>
      </c>
      <c r="BZ31" s="149" t="s">
        <v>361</v>
      </c>
    </row>
    <row r="32" spans="1:78" s="2" customFormat="1" x14ac:dyDescent="0.25">
      <c r="A32" s="181" t="s">
        <v>205</v>
      </c>
      <c r="B32" s="146" t="s">
        <v>361</v>
      </c>
      <c r="C32" s="146" t="s">
        <v>361</v>
      </c>
      <c r="D32" s="146" t="s">
        <v>361</v>
      </c>
      <c r="E32" s="146" t="s">
        <v>360</v>
      </c>
      <c r="F32" s="146" t="s">
        <v>361</v>
      </c>
      <c r="G32" s="146" t="s">
        <v>360</v>
      </c>
      <c r="H32" s="146" t="s">
        <v>361</v>
      </c>
      <c r="I32" s="146" t="s">
        <v>361</v>
      </c>
      <c r="J32" s="149" t="s">
        <v>361</v>
      </c>
      <c r="K32" s="181" t="s">
        <v>205</v>
      </c>
      <c r="L32" s="146" t="str">
        <f>LOOKUP($K32,PantheonList!$A$18:$A$139,PantheonList!$B$18:$B$139)</f>
        <v>Art</v>
      </c>
      <c r="M32" s="146" t="str">
        <f>LOOKUP($K32,PantheonList!$A$18:$A$139,PantheonList!$C$18:$C$139)</f>
        <v>Craft</v>
      </c>
      <c r="N32" s="146" t="str">
        <f>LOOKUP($K32,PantheonList!$A$18:$A$139,PantheonList!$D$18:$D$139)</f>
        <v>Empathy</v>
      </c>
      <c r="O32" s="146" t="str">
        <f>LOOKUP($K32,PantheonList!$A$18:$A$139,PantheonList!$E$18:$E$139)</f>
        <v>Integrity</v>
      </c>
      <c r="P32" s="146" t="str">
        <f>LOOKUP($K32,PantheonList!$A$18:$A$139,PantheonList!$F$18:$F$139)</f>
        <v>Melee</v>
      </c>
      <c r="Q32" s="146" t="str">
        <f>LOOKUP($K32,PantheonList!$A$18:$A$139,PantheonList!$G$18:$G$139)</f>
        <v>Presence</v>
      </c>
      <c r="R32" s="146" t="str">
        <f t="shared" ref="R32:AA41" si="6">IF(OR($Q32=R$1,$P32=R$1,$O32=R$1,$N32=R$1,$M32=R$1,$L32=R$1),"Yes","No")</f>
        <v>No</v>
      </c>
      <c r="S32" s="146" t="str">
        <f t="shared" si="6"/>
        <v>No</v>
      </c>
      <c r="T32" s="146" t="str">
        <f t="shared" si="6"/>
        <v>Yes</v>
      </c>
      <c r="U32" s="146" t="str">
        <f t="shared" si="6"/>
        <v>No</v>
      </c>
      <c r="V32" s="146" t="str">
        <f t="shared" si="6"/>
        <v>No</v>
      </c>
      <c r="W32" s="146" t="str">
        <f t="shared" si="6"/>
        <v>No</v>
      </c>
      <c r="X32" s="146" t="str">
        <f t="shared" si="6"/>
        <v>No</v>
      </c>
      <c r="Y32" s="146" t="str">
        <f t="shared" si="6"/>
        <v>No</v>
      </c>
      <c r="Z32" s="146" t="str">
        <f t="shared" si="6"/>
        <v>Yes</v>
      </c>
      <c r="AA32" s="146" t="str">
        <f t="shared" si="6"/>
        <v>Yes</v>
      </c>
      <c r="AB32" s="146" t="str">
        <f t="shared" ref="AB32:AO41" si="7">IF(OR($Q32=AB$1,$P32=AB$1,$O32=AB$1,$N32=AB$1,$M32=AB$1,$L32=AB$1),"Yes","No")</f>
        <v>No</v>
      </c>
      <c r="AC32" s="146" t="str">
        <f t="shared" si="7"/>
        <v>Yes</v>
      </c>
      <c r="AD32" s="146" t="str">
        <f t="shared" si="7"/>
        <v>No</v>
      </c>
      <c r="AE32" s="146" t="str">
        <f t="shared" si="7"/>
        <v>No</v>
      </c>
      <c r="AF32" s="146" t="str">
        <f t="shared" si="7"/>
        <v>No</v>
      </c>
      <c r="AG32" s="146" t="str">
        <f t="shared" si="7"/>
        <v>No</v>
      </c>
      <c r="AH32" s="146" t="str">
        <f t="shared" si="7"/>
        <v>Yes</v>
      </c>
      <c r="AI32" s="146" t="str">
        <f t="shared" si="7"/>
        <v>No</v>
      </c>
      <c r="AJ32" s="146" t="str">
        <f t="shared" si="7"/>
        <v>No</v>
      </c>
      <c r="AK32" s="146" t="str">
        <f t="shared" si="7"/>
        <v>Yes</v>
      </c>
      <c r="AL32" s="146" t="str">
        <f t="shared" si="7"/>
        <v>No</v>
      </c>
      <c r="AM32" s="146" t="str">
        <f t="shared" si="7"/>
        <v>No</v>
      </c>
      <c r="AN32" s="146" t="str">
        <f t="shared" si="7"/>
        <v>No</v>
      </c>
      <c r="AO32" s="149" t="str">
        <f t="shared" si="7"/>
        <v>No</v>
      </c>
      <c r="AP32" s="181" t="s">
        <v>205</v>
      </c>
      <c r="AQ32" s="146">
        <v>32</v>
      </c>
      <c r="AR32" s="146" t="s">
        <v>361</v>
      </c>
      <c r="AS32" s="146" t="s">
        <v>361</v>
      </c>
      <c r="AT32" s="146" t="s">
        <v>361</v>
      </c>
      <c r="AU32" s="146" t="s">
        <v>361</v>
      </c>
      <c r="AV32" s="146" t="s">
        <v>361</v>
      </c>
      <c r="AW32" s="146" t="s">
        <v>361</v>
      </c>
      <c r="AX32" s="146" t="s">
        <v>361</v>
      </c>
      <c r="AY32" s="146" t="s">
        <v>361</v>
      </c>
      <c r="AZ32" s="146" t="s">
        <v>361</v>
      </c>
      <c r="BA32" s="146" t="s">
        <v>361</v>
      </c>
      <c r="BB32" s="146" t="s">
        <v>360</v>
      </c>
      <c r="BC32" s="146" t="s">
        <v>361</v>
      </c>
      <c r="BD32" s="146" t="s">
        <v>361</v>
      </c>
      <c r="BE32" s="146" t="s">
        <v>361</v>
      </c>
      <c r="BF32" s="146" t="s">
        <v>360</v>
      </c>
      <c r="BG32" s="146" t="s">
        <v>361</v>
      </c>
      <c r="BH32" s="146" t="s">
        <v>361</v>
      </c>
      <c r="BI32" s="146" t="s">
        <v>361</v>
      </c>
      <c r="BJ32" s="146" t="s">
        <v>361</v>
      </c>
      <c r="BK32" s="146" t="s">
        <v>360</v>
      </c>
      <c r="BL32" s="146" t="s">
        <v>361</v>
      </c>
      <c r="BM32" s="146" t="s">
        <v>361</v>
      </c>
      <c r="BN32" s="146" t="s">
        <v>361</v>
      </c>
      <c r="BO32" s="146" t="s">
        <v>361</v>
      </c>
      <c r="BP32" s="146" t="s">
        <v>361</v>
      </c>
      <c r="BQ32" s="146" t="s">
        <v>361</v>
      </c>
      <c r="BR32" s="146" t="s">
        <v>361</v>
      </c>
      <c r="BS32" s="146" t="s">
        <v>361</v>
      </c>
      <c r="BT32" s="146" t="s">
        <v>361</v>
      </c>
      <c r="BU32" s="146" t="s">
        <v>361</v>
      </c>
      <c r="BV32" s="146" t="s">
        <v>361</v>
      </c>
      <c r="BW32" s="146" t="s">
        <v>361</v>
      </c>
      <c r="BX32" s="146" t="s">
        <v>361</v>
      </c>
      <c r="BY32" s="146" t="s">
        <v>360</v>
      </c>
      <c r="BZ32" s="149" t="s">
        <v>361</v>
      </c>
    </row>
    <row r="33" spans="1:78" s="2" customFormat="1" x14ac:dyDescent="0.25">
      <c r="A33" s="181" t="s">
        <v>206</v>
      </c>
      <c r="B33" s="146" t="s">
        <v>361</v>
      </c>
      <c r="C33" s="146" t="s">
        <v>361</v>
      </c>
      <c r="D33" s="146" t="s">
        <v>361</v>
      </c>
      <c r="E33" s="146" t="s">
        <v>360</v>
      </c>
      <c r="F33" s="146" t="s">
        <v>361</v>
      </c>
      <c r="G33" s="146" t="s">
        <v>361</v>
      </c>
      <c r="H33" s="146" t="s">
        <v>361</v>
      </c>
      <c r="I33" s="146" t="s">
        <v>361</v>
      </c>
      <c r="J33" s="149" t="s">
        <v>361</v>
      </c>
      <c r="K33" s="181" t="s">
        <v>206</v>
      </c>
      <c r="L33" s="146" t="str">
        <f>LOOKUP($K33,PantheonList!$A$18:$A$139,PantheonList!$B$18:$B$139)</f>
        <v>Animal Ken</v>
      </c>
      <c r="M33" s="146" t="str">
        <f>LOOKUP($K33,PantheonList!$A$18:$A$139,PantheonList!$C$18:$C$139)</f>
        <v>Brawl</v>
      </c>
      <c r="N33" s="146" t="str">
        <f>LOOKUP($K33,PantheonList!$A$18:$A$139,PantheonList!$D$18:$D$139)</f>
        <v>Control</v>
      </c>
      <c r="O33" s="146" t="str">
        <f>LOOKUP($K33,PantheonList!$A$18:$A$139,PantheonList!$E$18:$E$139)</f>
        <v>Fortitude</v>
      </c>
      <c r="P33" s="146" t="str">
        <f>LOOKUP($K33,PantheonList!$A$18:$A$139,PantheonList!$F$18:$F$139)</f>
        <v>Investigation</v>
      </c>
      <c r="Q33" s="146" t="str">
        <f>LOOKUP($K33,PantheonList!$A$18:$A$139,PantheonList!$G$18:$G$139)</f>
        <v>Presence</v>
      </c>
      <c r="R33" s="146" t="str">
        <f t="shared" si="6"/>
        <v>No</v>
      </c>
      <c r="S33" s="146" t="str">
        <f t="shared" si="6"/>
        <v>Yes</v>
      </c>
      <c r="T33" s="146" t="str">
        <f t="shared" si="6"/>
        <v>No</v>
      </c>
      <c r="U33" s="146" t="str">
        <f t="shared" si="6"/>
        <v>No</v>
      </c>
      <c r="V33" s="146" t="str">
        <f t="shared" si="6"/>
        <v>No</v>
      </c>
      <c r="W33" s="146" t="str">
        <f t="shared" si="6"/>
        <v>Yes</v>
      </c>
      <c r="X33" s="146" t="str">
        <f t="shared" si="6"/>
        <v>No</v>
      </c>
      <c r="Y33" s="146" t="str">
        <f t="shared" si="6"/>
        <v>Yes</v>
      </c>
      <c r="Z33" s="146" t="str">
        <f t="shared" si="6"/>
        <v>No</v>
      </c>
      <c r="AA33" s="146" t="str">
        <f t="shared" si="6"/>
        <v>No</v>
      </c>
      <c r="AB33" s="146" t="str">
        <f t="shared" si="7"/>
        <v>Yes</v>
      </c>
      <c r="AC33" s="146" t="str">
        <f t="shared" si="7"/>
        <v>No</v>
      </c>
      <c r="AD33" s="146" t="str">
        <f t="shared" si="7"/>
        <v>Yes</v>
      </c>
      <c r="AE33" s="146" t="str">
        <f t="shared" si="7"/>
        <v>No</v>
      </c>
      <c r="AF33" s="146" t="str">
        <f t="shared" si="7"/>
        <v>No</v>
      </c>
      <c r="AG33" s="146" t="str">
        <f t="shared" si="7"/>
        <v>No</v>
      </c>
      <c r="AH33" s="146" t="str">
        <f t="shared" si="7"/>
        <v>No</v>
      </c>
      <c r="AI33" s="146" t="str">
        <f t="shared" si="7"/>
        <v>No</v>
      </c>
      <c r="AJ33" s="146" t="str">
        <f t="shared" si="7"/>
        <v>No</v>
      </c>
      <c r="AK33" s="146" t="str">
        <f t="shared" si="7"/>
        <v>Yes</v>
      </c>
      <c r="AL33" s="146" t="str">
        <f t="shared" si="7"/>
        <v>No</v>
      </c>
      <c r="AM33" s="146" t="str">
        <f t="shared" si="7"/>
        <v>No</v>
      </c>
      <c r="AN33" s="146" t="str">
        <f t="shared" si="7"/>
        <v>No</v>
      </c>
      <c r="AO33" s="149" t="str">
        <f t="shared" si="7"/>
        <v>No</v>
      </c>
      <c r="AP33" s="181" t="s">
        <v>206</v>
      </c>
      <c r="AQ33" s="146">
        <v>33</v>
      </c>
      <c r="AR33" s="146" t="s">
        <v>361</v>
      </c>
      <c r="AS33" s="146" t="s">
        <v>361</v>
      </c>
      <c r="AT33" s="146" t="s">
        <v>361</v>
      </c>
      <c r="AU33" s="146" t="s">
        <v>361</v>
      </c>
      <c r="AV33" s="146" t="s">
        <v>361</v>
      </c>
      <c r="AW33" s="146" t="s">
        <v>361</v>
      </c>
      <c r="AX33" s="146" t="s">
        <v>361</v>
      </c>
      <c r="AY33" s="146" t="s">
        <v>361</v>
      </c>
      <c r="AZ33" s="146" t="s">
        <v>361</v>
      </c>
      <c r="BA33" s="146" t="s">
        <v>361</v>
      </c>
      <c r="BB33" s="146" t="s">
        <v>360</v>
      </c>
      <c r="BC33" s="146" t="s">
        <v>361</v>
      </c>
      <c r="BD33" s="146" t="s">
        <v>361</v>
      </c>
      <c r="BE33" s="146" t="s">
        <v>361</v>
      </c>
      <c r="BF33" s="146" t="s">
        <v>360</v>
      </c>
      <c r="BG33" s="146" t="s">
        <v>361</v>
      </c>
      <c r="BH33" s="146" t="s">
        <v>361</v>
      </c>
      <c r="BI33" s="146" t="s">
        <v>361</v>
      </c>
      <c r="BJ33" s="146" t="s">
        <v>361</v>
      </c>
      <c r="BK33" s="146" t="s">
        <v>360</v>
      </c>
      <c r="BL33" s="146" t="s">
        <v>361</v>
      </c>
      <c r="BM33" s="146" t="s">
        <v>361</v>
      </c>
      <c r="BN33" s="146" t="s">
        <v>361</v>
      </c>
      <c r="BO33" s="146" t="s">
        <v>361</v>
      </c>
      <c r="BP33" s="146" t="s">
        <v>361</v>
      </c>
      <c r="BQ33" s="146" t="s">
        <v>361</v>
      </c>
      <c r="BR33" s="146" t="s">
        <v>361</v>
      </c>
      <c r="BS33" s="146" t="s">
        <v>361</v>
      </c>
      <c r="BT33" s="146" t="s">
        <v>361</v>
      </c>
      <c r="BU33" s="146" t="s">
        <v>361</v>
      </c>
      <c r="BV33" s="146" t="s">
        <v>360</v>
      </c>
      <c r="BW33" s="146" t="s">
        <v>361</v>
      </c>
      <c r="BX33" s="146" t="s">
        <v>361</v>
      </c>
      <c r="BY33" s="146" t="s">
        <v>360</v>
      </c>
      <c r="BZ33" s="149" t="s">
        <v>361</v>
      </c>
    </row>
    <row r="34" spans="1:78" s="2" customFormat="1" x14ac:dyDescent="0.25">
      <c r="A34" s="181" t="s">
        <v>207</v>
      </c>
      <c r="B34" s="146" t="s">
        <v>361</v>
      </c>
      <c r="C34" s="146" t="s">
        <v>361</v>
      </c>
      <c r="D34" s="146" t="s">
        <v>361</v>
      </c>
      <c r="E34" s="146" t="s">
        <v>360</v>
      </c>
      <c r="F34" s="146" t="s">
        <v>361</v>
      </c>
      <c r="G34" s="146" t="s">
        <v>361</v>
      </c>
      <c r="H34" s="146" t="s">
        <v>361</v>
      </c>
      <c r="I34" s="146" t="s">
        <v>360</v>
      </c>
      <c r="J34" s="149" t="s">
        <v>361</v>
      </c>
      <c r="K34" s="181" t="s">
        <v>207</v>
      </c>
      <c r="L34" s="146" t="str">
        <f>LOOKUP($K34,PantheonList!$A$18:$A$139,PantheonList!$B$18:$B$139)</f>
        <v>Academics</v>
      </c>
      <c r="M34" s="146" t="str">
        <f>LOOKUP($K34,PantheonList!$A$18:$A$139,PantheonList!$C$18:$C$139)</f>
        <v>Command</v>
      </c>
      <c r="N34" s="146" t="str">
        <f>LOOKUP($K34,PantheonList!$A$18:$A$139,PantheonList!$D$18:$D$139)</f>
        <v>Fortitude</v>
      </c>
      <c r="O34" s="146" t="str">
        <f>LOOKUP($K34,PantheonList!$A$18:$A$139,PantheonList!$E$18:$E$139)</f>
        <v>Medicine</v>
      </c>
      <c r="P34" s="146" t="str">
        <f>LOOKUP($K34,PantheonList!$A$18:$A$139,PantheonList!$F$18:$F$139)</f>
        <v>Occult</v>
      </c>
      <c r="Q34" s="146" t="str">
        <f>LOOKUP($K34,PantheonList!$A$18:$A$139,PantheonList!$G$18:$G$139)</f>
        <v>Science</v>
      </c>
      <c r="R34" s="146" t="str">
        <f t="shared" si="6"/>
        <v>Yes</v>
      </c>
      <c r="S34" s="146" t="str">
        <f t="shared" si="6"/>
        <v>No</v>
      </c>
      <c r="T34" s="146" t="str">
        <f t="shared" si="6"/>
        <v>No</v>
      </c>
      <c r="U34" s="146" t="str">
        <f t="shared" si="6"/>
        <v>No</v>
      </c>
      <c r="V34" s="146" t="str">
        <f t="shared" si="6"/>
        <v>No</v>
      </c>
      <c r="W34" s="146" t="str">
        <f t="shared" si="6"/>
        <v>No</v>
      </c>
      <c r="X34" s="146" t="str">
        <f t="shared" si="6"/>
        <v>Yes</v>
      </c>
      <c r="Y34" s="146" t="str">
        <f t="shared" si="6"/>
        <v>No</v>
      </c>
      <c r="Z34" s="146" t="str">
        <f t="shared" si="6"/>
        <v>No</v>
      </c>
      <c r="AA34" s="146" t="str">
        <f t="shared" si="6"/>
        <v>No</v>
      </c>
      <c r="AB34" s="146" t="str">
        <f t="shared" si="7"/>
        <v>Yes</v>
      </c>
      <c r="AC34" s="146" t="str">
        <f t="shared" si="7"/>
        <v>No</v>
      </c>
      <c r="AD34" s="146" t="str">
        <f t="shared" si="7"/>
        <v>No</v>
      </c>
      <c r="AE34" s="146" t="str">
        <f t="shared" si="7"/>
        <v>No</v>
      </c>
      <c r="AF34" s="146" t="str">
        <f t="shared" si="7"/>
        <v>No</v>
      </c>
      <c r="AG34" s="146" t="str">
        <f t="shared" si="7"/>
        <v>Yes</v>
      </c>
      <c r="AH34" s="146" t="str">
        <f t="shared" si="7"/>
        <v>No</v>
      </c>
      <c r="AI34" s="146" t="str">
        <f t="shared" si="7"/>
        <v>Yes</v>
      </c>
      <c r="AJ34" s="146" t="str">
        <f t="shared" si="7"/>
        <v>No</v>
      </c>
      <c r="AK34" s="146" t="str">
        <f t="shared" si="7"/>
        <v>No</v>
      </c>
      <c r="AL34" s="146" t="str">
        <f t="shared" si="7"/>
        <v>Yes</v>
      </c>
      <c r="AM34" s="146" t="str">
        <f t="shared" si="7"/>
        <v>No</v>
      </c>
      <c r="AN34" s="146" t="str">
        <f t="shared" si="7"/>
        <v>No</v>
      </c>
      <c r="AO34" s="149" t="str">
        <f t="shared" si="7"/>
        <v>No</v>
      </c>
      <c r="AP34" s="181" t="s">
        <v>207</v>
      </c>
      <c r="AQ34" s="146">
        <v>34</v>
      </c>
      <c r="AR34" s="146" t="s">
        <v>361</v>
      </c>
      <c r="AS34" s="146" t="s">
        <v>361</v>
      </c>
      <c r="AT34" s="146" t="s">
        <v>361</v>
      </c>
      <c r="AU34" s="146" t="s">
        <v>361</v>
      </c>
      <c r="AV34" s="146" t="s">
        <v>361</v>
      </c>
      <c r="AW34" s="146" t="s">
        <v>361</v>
      </c>
      <c r="AX34" s="146" t="s">
        <v>361</v>
      </c>
      <c r="AY34" s="146" t="s">
        <v>361</v>
      </c>
      <c r="AZ34" s="146" t="s">
        <v>361</v>
      </c>
      <c r="BA34" s="146" t="s">
        <v>361</v>
      </c>
      <c r="BB34" s="146" t="s">
        <v>361</v>
      </c>
      <c r="BC34" s="146" t="s">
        <v>361</v>
      </c>
      <c r="BD34" s="146" t="s">
        <v>361</v>
      </c>
      <c r="BE34" s="146" t="s">
        <v>361</v>
      </c>
      <c r="BF34" s="146" t="s">
        <v>361</v>
      </c>
      <c r="BG34" s="146" t="s">
        <v>361</v>
      </c>
      <c r="BH34" s="146" t="s">
        <v>361</v>
      </c>
      <c r="BI34" s="146" t="s">
        <v>361</v>
      </c>
      <c r="BJ34" s="146" t="s">
        <v>361</v>
      </c>
      <c r="BK34" s="146" t="s">
        <v>360</v>
      </c>
      <c r="BL34" s="146" t="s">
        <v>361</v>
      </c>
      <c r="BM34" s="146" t="s">
        <v>360</v>
      </c>
      <c r="BN34" s="146" t="s">
        <v>361</v>
      </c>
      <c r="BO34" s="146" t="s">
        <v>361</v>
      </c>
      <c r="BP34" s="146" t="s">
        <v>360</v>
      </c>
      <c r="BQ34" s="146" t="s">
        <v>361</v>
      </c>
      <c r="BR34" s="146" t="s">
        <v>361</v>
      </c>
      <c r="BS34" s="146" t="s">
        <v>361</v>
      </c>
      <c r="BT34" s="146" t="s">
        <v>360</v>
      </c>
      <c r="BU34" s="146" t="s">
        <v>361</v>
      </c>
      <c r="BV34" s="146" t="s">
        <v>361</v>
      </c>
      <c r="BW34" s="146" t="s">
        <v>361</v>
      </c>
      <c r="BX34" s="146" t="s">
        <v>361</v>
      </c>
      <c r="BY34" s="146" t="s">
        <v>361</v>
      </c>
      <c r="BZ34" s="149" t="s">
        <v>361</v>
      </c>
    </row>
    <row r="35" spans="1:78" s="2" customFormat="1" x14ac:dyDescent="0.25">
      <c r="A35" s="181" t="s">
        <v>237</v>
      </c>
      <c r="B35" s="146" t="s">
        <v>361</v>
      </c>
      <c r="C35" s="146" t="s">
        <v>361</v>
      </c>
      <c r="D35" s="146" t="s">
        <v>360</v>
      </c>
      <c r="E35" s="146" t="s">
        <v>361</v>
      </c>
      <c r="F35" s="146" t="s">
        <v>361</v>
      </c>
      <c r="G35" s="146" t="s">
        <v>361</v>
      </c>
      <c r="H35" s="146" t="s">
        <v>360</v>
      </c>
      <c r="I35" s="146" t="s">
        <v>360</v>
      </c>
      <c r="J35" s="149" t="s">
        <v>361</v>
      </c>
      <c r="K35" s="181" t="s">
        <v>237</v>
      </c>
      <c r="L35" s="146" t="str">
        <f>LOOKUP($K35,PantheonList!$A$18:$A$139,PantheonList!$B$18:$B$139)</f>
        <v>Animal Ken</v>
      </c>
      <c r="M35" s="146" t="str">
        <f>LOOKUP($K35,PantheonList!$A$18:$A$139,PantheonList!$C$18:$C$139)</f>
        <v>Art</v>
      </c>
      <c r="N35" s="146" t="str">
        <f>LOOKUP($K35,PantheonList!$A$18:$A$139,PantheonList!$D$18:$D$139)</f>
        <v>Awareness</v>
      </c>
      <c r="O35" s="146" t="str">
        <f>LOOKUP($K35,PantheonList!$A$18:$A$139,PantheonList!$E$18:$E$139)</f>
        <v>Craft</v>
      </c>
      <c r="P35" s="146" t="str">
        <f>LOOKUP($K35,PantheonList!$A$18:$A$139,PantheonList!$F$18:$F$139)</f>
        <v>Integrity</v>
      </c>
      <c r="Q35" s="146" t="str">
        <f>LOOKUP($K35,PantheonList!$A$18:$A$139,PantheonList!$G$18:$G$139)</f>
        <v>Occult</v>
      </c>
      <c r="R35" s="146" t="str">
        <f t="shared" si="6"/>
        <v>No</v>
      </c>
      <c r="S35" s="146" t="str">
        <f t="shared" si="6"/>
        <v>Yes</v>
      </c>
      <c r="T35" s="146" t="str">
        <f t="shared" si="6"/>
        <v>Yes</v>
      </c>
      <c r="U35" s="146" t="str">
        <f t="shared" si="6"/>
        <v>No</v>
      </c>
      <c r="V35" s="146" t="str">
        <f t="shared" si="6"/>
        <v>Yes</v>
      </c>
      <c r="W35" s="146" t="str">
        <f t="shared" si="6"/>
        <v>No</v>
      </c>
      <c r="X35" s="146" t="str">
        <f t="shared" si="6"/>
        <v>No</v>
      </c>
      <c r="Y35" s="146" t="str">
        <f t="shared" si="6"/>
        <v>No</v>
      </c>
      <c r="Z35" s="146" t="str">
        <f t="shared" si="6"/>
        <v>Yes</v>
      </c>
      <c r="AA35" s="146" t="str">
        <f t="shared" si="6"/>
        <v>No</v>
      </c>
      <c r="AB35" s="146" t="str">
        <f t="shared" si="7"/>
        <v>No</v>
      </c>
      <c r="AC35" s="146" t="str">
        <f t="shared" si="7"/>
        <v>Yes</v>
      </c>
      <c r="AD35" s="146" t="str">
        <f t="shared" si="7"/>
        <v>No</v>
      </c>
      <c r="AE35" s="146" t="str">
        <f t="shared" si="7"/>
        <v>No</v>
      </c>
      <c r="AF35" s="146" t="str">
        <f t="shared" si="7"/>
        <v>No</v>
      </c>
      <c r="AG35" s="146" t="str">
        <f t="shared" si="7"/>
        <v>No</v>
      </c>
      <c r="AH35" s="146" t="str">
        <f t="shared" si="7"/>
        <v>No</v>
      </c>
      <c r="AI35" s="146" t="str">
        <f t="shared" si="7"/>
        <v>Yes</v>
      </c>
      <c r="AJ35" s="146" t="str">
        <f t="shared" si="7"/>
        <v>No</v>
      </c>
      <c r="AK35" s="146" t="str">
        <f t="shared" si="7"/>
        <v>No</v>
      </c>
      <c r="AL35" s="146" t="str">
        <f t="shared" si="7"/>
        <v>No</v>
      </c>
      <c r="AM35" s="146" t="str">
        <f t="shared" si="7"/>
        <v>No</v>
      </c>
      <c r="AN35" s="146" t="str">
        <f t="shared" si="7"/>
        <v>No</v>
      </c>
      <c r="AO35" s="149" t="str">
        <f t="shared" si="7"/>
        <v>No</v>
      </c>
      <c r="AP35" s="181" t="s">
        <v>237</v>
      </c>
      <c r="AQ35" s="146">
        <v>35</v>
      </c>
      <c r="AR35" s="146" t="s">
        <v>361</v>
      </c>
      <c r="AS35" s="146" t="s">
        <v>361</v>
      </c>
      <c r="AT35" s="146" t="s">
        <v>361</v>
      </c>
      <c r="AU35" s="146" t="s">
        <v>361</v>
      </c>
      <c r="AV35" s="146" t="s">
        <v>361</v>
      </c>
      <c r="AW35" s="146" t="s">
        <v>361</v>
      </c>
      <c r="AX35" s="146" t="s">
        <v>361</v>
      </c>
      <c r="AY35" s="146" t="s">
        <v>361</v>
      </c>
      <c r="AZ35" s="146" t="s">
        <v>361</v>
      </c>
      <c r="BA35" s="146" t="s">
        <v>361</v>
      </c>
      <c r="BB35" s="146" t="s">
        <v>360</v>
      </c>
      <c r="BC35" s="146" t="s">
        <v>361</v>
      </c>
      <c r="BD35" s="146" t="s">
        <v>361</v>
      </c>
      <c r="BE35" s="146" t="s">
        <v>361</v>
      </c>
      <c r="BF35" s="146" t="s">
        <v>361</v>
      </c>
      <c r="BG35" s="146" t="s">
        <v>361</v>
      </c>
      <c r="BH35" s="146" t="s">
        <v>361</v>
      </c>
      <c r="BI35" s="146" t="s">
        <v>361</v>
      </c>
      <c r="BJ35" s="146" t="s">
        <v>361</v>
      </c>
      <c r="BK35" s="146" t="s">
        <v>361</v>
      </c>
      <c r="BL35" s="146" t="s">
        <v>361</v>
      </c>
      <c r="BM35" s="146" t="s">
        <v>361</v>
      </c>
      <c r="BN35" s="146" t="s">
        <v>361</v>
      </c>
      <c r="BO35" s="146" t="s">
        <v>361</v>
      </c>
      <c r="BP35" s="146" t="s">
        <v>360</v>
      </c>
      <c r="BQ35" s="146" t="s">
        <v>361</v>
      </c>
      <c r="BR35" s="146" t="s">
        <v>361</v>
      </c>
      <c r="BS35" s="146" t="s">
        <v>361</v>
      </c>
      <c r="BT35" s="146" t="s">
        <v>360</v>
      </c>
      <c r="BU35" s="146" t="s">
        <v>361</v>
      </c>
      <c r="BV35" s="146" t="s">
        <v>360</v>
      </c>
      <c r="BW35" s="146" t="s">
        <v>360</v>
      </c>
      <c r="BX35" s="146" t="s">
        <v>361</v>
      </c>
      <c r="BY35" s="146" t="s">
        <v>361</v>
      </c>
      <c r="BZ35" s="149" t="s">
        <v>361</v>
      </c>
    </row>
    <row r="36" spans="1:78" s="2" customFormat="1" x14ac:dyDescent="0.25">
      <c r="A36" s="181" t="s">
        <v>251</v>
      </c>
      <c r="B36" s="146" t="s">
        <v>361</v>
      </c>
      <c r="C36" s="146" t="s">
        <v>361</v>
      </c>
      <c r="D36" s="146" t="s">
        <v>361</v>
      </c>
      <c r="E36" s="146" t="s">
        <v>361</v>
      </c>
      <c r="F36" s="146" t="s">
        <v>361</v>
      </c>
      <c r="G36" s="146" t="s">
        <v>361</v>
      </c>
      <c r="H36" s="146" t="s">
        <v>360</v>
      </c>
      <c r="I36" s="146" t="s">
        <v>360</v>
      </c>
      <c r="J36" s="149" t="s">
        <v>361</v>
      </c>
      <c r="K36" s="181" t="s">
        <v>251</v>
      </c>
      <c r="L36" s="146" t="str">
        <f>LOOKUP($K36,PantheonList!$A$18:$A$139,PantheonList!$B$18:$B$139)</f>
        <v>Academics</v>
      </c>
      <c r="M36" s="146" t="str">
        <f>LOOKUP($K36,PantheonList!$A$18:$A$139,PantheonList!$C$18:$C$139)</f>
        <v>Athletics</v>
      </c>
      <c r="N36" s="146" t="str">
        <f>LOOKUP($K36,PantheonList!$A$18:$A$139,PantheonList!$D$18:$D$139)</f>
        <v>Awareness</v>
      </c>
      <c r="O36" s="146" t="str">
        <f>LOOKUP($K36,PantheonList!$A$18:$A$139,PantheonList!$E$18:$E$139)</f>
        <v>Command</v>
      </c>
      <c r="P36" s="146" t="str">
        <f>LOOKUP($K36,PantheonList!$A$18:$A$139,PantheonList!$F$18:$F$139)</f>
        <v>Fortitude</v>
      </c>
      <c r="Q36" s="146" t="str">
        <f>LOOKUP($K36,PantheonList!$A$18:$A$139,PantheonList!$G$18:$G$139)</f>
        <v>Science</v>
      </c>
      <c r="R36" s="146" t="str">
        <f t="shared" si="6"/>
        <v>Yes</v>
      </c>
      <c r="S36" s="146" t="str">
        <f t="shared" si="6"/>
        <v>No</v>
      </c>
      <c r="T36" s="146" t="str">
        <f t="shared" si="6"/>
        <v>No</v>
      </c>
      <c r="U36" s="146" t="str">
        <f t="shared" si="6"/>
        <v>Yes</v>
      </c>
      <c r="V36" s="146" t="str">
        <f t="shared" si="6"/>
        <v>Yes</v>
      </c>
      <c r="W36" s="146" t="str">
        <f t="shared" si="6"/>
        <v>No</v>
      </c>
      <c r="X36" s="146" t="str">
        <f t="shared" si="6"/>
        <v>Yes</v>
      </c>
      <c r="Y36" s="146" t="str">
        <f t="shared" si="6"/>
        <v>No</v>
      </c>
      <c r="Z36" s="146" t="str">
        <f t="shared" si="6"/>
        <v>No</v>
      </c>
      <c r="AA36" s="146" t="str">
        <f t="shared" si="6"/>
        <v>No</v>
      </c>
      <c r="AB36" s="146" t="str">
        <f t="shared" si="7"/>
        <v>Yes</v>
      </c>
      <c r="AC36" s="146" t="str">
        <f t="shared" si="7"/>
        <v>No</v>
      </c>
      <c r="AD36" s="146" t="str">
        <f t="shared" si="7"/>
        <v>No</v>
      </c>
      <c r="AE36" s="146" t="str">
        <f t="shared" si="7"/>
        <v>No</v>
      </c>
      <c r="AF36" s="146" t="str">
        <f t="shared" si="7"/>
        <v>No</v>
      </c>
      <c r="AG36" s="146" t="str">
        <f t="shared" si="7"/>
        <v>No</v>
      </c>
      <c r="AH36" s="146" t="str">
        <f t="shared" si="7"/>
        <v>No</v>
      </c>
      <c r="AI36" s="146" t="str">
        <f t="shared" si="7"/>
        <v>No</v>
      </c>
      <c r="AJ36" s="146" t="str">
        <f t="shared" si="7"/>
        <v>No</v>
      </c>
      <c r="AK36" s="146" t="str">
        <f t="shared" si="7"/>
        <v>No</v>
      </c>
      <c r="AL36" s="146" t="str">
        <f t="shared" si="7"/>
        <v>Yes</v>
      </c>
      <c r="AM36" s="146" t="str">
        <f t="shared" si="7"/>
        <v>No</v>
      </c>
      <c r="AN36" s="146" t="str">
        <f t="shared" si="7"/>
        <v>No</v>
      </c>
      <c r="AO36" s="149" t="str">
        <f t="shared" si="7"/>
        <v>No</v>
      </c>
      <c r="AP36" s="181" t="s">
        <v>251</v>
      </c>
      <c r="AQ36" s="146">
        <v>36</v>
      </c>
      <c r="AR36" s="146" t="s">
        <v>360</v>
      </c>
      <c r="AS36" s="146" t="s">
        <v>361</v>
      </c>
      <c r="AT36" s="146" t="s">
        <v>361</v>
      </c>
      <c r="AU36" s="146" t="s">
        <v>361</v>
      </c>
      <c r="AV36" s="146" t="s">
        <v>361</v>
      </c>
      <c r="AW36" s="146" t="s">
        <v>361</v>
      </c>
      <c r="AX36" s="146" t="s">
        <v>361</v>
      </c>
      <c r="AY36" s="146" t="s">
        <v>361</v>
      </c>
      <c r="AZ36" s="146" t="s">
        <v>360</v>
      </c>
      <c r="BA36" s="146" t="s">
        <v>361</v>
      </c>
      <c r="BB36" s="146" t="s">
        <v>361</v>
      </c>
      <c r="BC36" s="146" t="s">
        <v>360</v>
      </c>
      <c r="BD36" s="146" t="s">
        <v>361</v>
      </c>
      <c r="BE36" s="146" t="s">
        <v>361</v>
      </c>
      <c r="BF36" s="146" t="s">
        <v>361</v>
      </c>
      <c r="BG36" s="146" t="s">
        <v>361</v>
      </c>
      <c r="BH36" s="146" t="s">
        <v>361</v>
      </c>
      <c r="BI36" s="146" t="s">
        <v>361</v>
      </c>
      <c r="BJ36" s="146" t="s">
        <v>361</v>
      </c>
      <c r="BK36" s="146" t="s">
        <v>361</v>
      </c>
      <c r="BL36" s="146" t="s">
        <v>361</v>
      </c>
      <c r="BM36" s="146" t="s">
        <v>360</v>
      </c>
      <c r="BN36" s="146" t="s">
        <v>361</v>
      </c>
      <c r="BO36" s="146" t="s">
        <v>360</v>
      </c>
      <c r="BP36" s="146" t="s">
        <v>360</v>
      </c>
      <c r="BQ36" s="146" t="s">
        <v>360</v>
      </c>
      <c r="BR36" s="146" t="s">
        <v>360</v>
      </c>
      <c r="BS36" s="146" t="s">
        <v>361</v>
      </c>
      <c r="BT36" s="146" t="s">
        <v>361</v>
      </c>
      <c r="BU36" s="146" t="s">
        <v>361</v>
      </c>
      <c r="BV36" s="146" t="s">
        <v>361</v>
      </c>
      <c r="BW36" s="146" t="s">
        <v>361</v>
      </c>
      <c r="BX36" s="146" t="s">
        <v>361</v>
      </c>
      <c r="BY36" s="146" t="s">
        <v>361</v>
      </c>
      <c r="BZ36" s="149" t="s">
        <v>361</v>
      </c>
    </row>
    <row r="37" spans="1:78" s="2" customFormat="1" x14ac:dyDescent="0.25">
      <c r="A37" s="181" t="s">
        <v>287</v>
      </c>
      <c r="B37" s="146" t="s">
        <v>361</v>
      </c>
      <c r="C37" s="146" t="s">
        <v>361</v>
      </c>
      <c r="D37" s="146" t="s">
        <v>361</v>
      </c>
      <c r="E37" s="146" t="s">
        <v>361</v>
      </c>
      <c r="F37" s="146" t="s">
        <v>361</v>
      </c>
      <c r="G37" s="146" t="s">
        <v>361</v>
      </c>
      <c r="H37" s="146" t="s">
        <v>361</v>
      </c>
      <c r="I37" s="146" t="s">
        <v>361</v>
      </c>
      <c r="J37" s="149" t="s">
        <v>361</v>
      </c>
      <c r="K37" s="181" t="s">
        <v>287</v>
      </c>
      <c r="L37" s="146" t="str">
        <f>LOOKUP($K37,PantheonList!$A$18:$A$139,PantheonList!$B$18:$B$139)</f>
        <v>Art</v>
      </c>
      <c r="M37" s="146" t="str">
        <f>LOOKUP($K37,PantheonList!$A$18:$A$139,PantheonList!$C$18:$C$139)</f>
        <v>Command</v>
      </c>
      <c r="N37" s="146" t="str">
        <f>LOOKUP($K37,PantheonList!$A$18:$A$139,PantheonList!$D$18:$D$139)</f>
        <v>Empathy</v>
      </c>
      <c r="O37" s="146" t="str">
        <f>LOOKUP($K37,PantheonList!$A$18:$A$139,PantheonList!$E$18:$E$139)</f>
        <v>Fortitude</v>
      </c>
      <c r="P37" s="146" t="str">
        <f>LOOKUP($K37,PantheonList!$A$18:$A$139,PantheonList!$F$18:$F$139)</f>
        <v>Politics</v>
      </c>
      <c r="Q37" s="146" t="str">
        <f>LOOKUP($K37,PantheonList!$A$18:$A$139,PantheonList!$G$18:$G$139)</f>
        <v>Science</v>
      </c>
      <c r="R37" s="146" t="str">
        <f t="shared" si="6"/>
        <v>No</v>
      </c>
      <c r="S37" s="146" t="str">
        <f t="shared" si="6"/>
        <v>No</v>
      </c>
      <c r="T37" s="146" t="str">
        <f t="shared" si="6"/>
        <v>Yes</v>
      </c>
      <c r="U37" s="146" t="str">
        <f t="shared" si="6"/>
        <v>No</v>
      </c>
      <c r="V37" s="146" t="str">
        <f t="shared" si="6"/>
        <v>No</v>
      </c>
      <c r="W37" s="146" t="str">
        <f t="shared" si="6"/>
        <v>No</v>
      </c>
      <c r="X37" s="146" t="str">
        <f t="shared" si="6"/>
        <v>Yes</v>
      </c>
      <c r="Y37" s="146" t="str">
        <f t="shared" si="6"/>
        <v>No</v>
      </c>
      <c r="Z37" s="146" t="str">
        <f t="shared" si="6"/>
        <v>No</v>
      </c>
      <c r="AA37" s="146" t="str">
        <f t="shared" si="6"/>
        <v>Yes</v>
      </c>
      <c r="AB37" s="146" t="str">
        <f t="shared" si="7"/>
        <v>Yes</v>
      </c>
      <c r="AC37" s="146" t="str">
        <f t="shared" si="7"/>
        <v>No</v>
      </c>
      <c r="AD37" s="146" t="str">
        <f t="shared" si="7"/>
        <v>No</v>
      </c>
      <c r="AE37" s="146" t="str">
        <f t="shared" si="7"/>
        <v>No</v>
      </c>
      <c r="AF37" s="146" t="str">
        <f t="shared" si="7"/>
        <v>No</v>
      </c>
      <c r="AG37" s="146" t="str">
        <f t="shared" si="7"/>
        <v>No</v>
      </c>
      <c r="AH37" s="146" t="str">
        <f t="shared" si="7"/>
        <v>No</v>
      </c>
      <c r="AI37" s="146" t="str">
        <f t="shared" si="7"/>
        <v>No</v>
      </c>
      <c r="AJ37" s="146" t="str">
        <f t="shared" si="7"/>
        <v>Yes</v>
      </c>
      <c r="AK37" s="146" t="str">
        <f t="shared" si="7"/>
        <v>No</v>
      </c>
      <c r="AL37" s="146" t="str">
        <f t="shared" si="7"/>
        <v>Yes</v>
      </c>
      <c r="AM37" s="146" t="str">
        <f t="shared" si="7"/>
        <v>No</v>
      </c>
      <c r="AN37" s="146" t="str">
        <f t="shared" si="7"/>
        <v>No</v>
      </c>
      <c r="AO37" s="149" t="str">
        <f t="shared" si="7"/>
        <v>No</v>
      </c>
      <c r="AP37" s="181" t="s">
        <v>287</v>
      </c>
      <c r="AQ37" s="146">
        <v>37</v>
      </c>
      <c r="AR37" s="146" t="s">
        <v>360</v>
      </c>
      <c r="AS37" s="146" t="s">
        <v>361</v>
      </c>
      <c r="AT37" s="146" t="s">
        <v>361</v>
      </c>
      <c r="AU37" s="146" t="s">
        <v>361</v>
      </c>
      <c r="AV37" s="146" t="s">
        <v>361</v>
      </c>
      <c r="AW37" s="146" t="s">
        <v>361</v>
      </c>
      <c r="AX37" s="146" t="s">
        <v>361</v>
      </c>
      <c r="AY37" s="146" t="s">
        <v>361</v>
      </c>
      <c r="AZ37" s="146" t="s">
        <v>360</v>
      </c>
      <c r="BA37" s="146" t="s">
        <v>361</v>
      </c>
      <c r="BB37" s="146" t="s">
        <v>360</v>
      </c>
      <c r="BC37" s="146" t="s">
        <v>361</v>
      </c>
      <c r="BD37" s="146" t="s">
        <v>361</v>
      </c>
      <c r="BE37" s="146" t="s">
        <v>361</v>
      </c>
      <c r="BF37" s="146" t="s">
        <v>361</v>
      </c>
      <c r="BG37" s="146" t="s">
        <v>360</v>
      </c>
      <c r="BH37" s="146" t="s">
        <v>361</v>
      </c>
      <c r="BI37" s="146" t="s">
        <v>361</v>
      </c>
      <c r="BJ37" s="146" t="s">
        <v>361</v>
      </c>
      <c r="BK37" s="146" t="s">
        <v>361</v>
      </c>
      <c r="BL37" s="146" t="s">
        <v>360</v>
      </c>
      <c r="BM37" s="146" t="s">
        <v>361</v>
      </c>
      <c r="BN37" s="146" t="s">
        <v>361</v>
      </c>
      <c r="BO37" s="146" t="s">
        <v>361</v>
      </c>
      <c r="BP37" s="146" t="s">
        <v>361</v>
      </c>
      <c r="BQ37" s="146" t="s">
        <v>361</v>
      </c>
      <c r="BR37" s="146" t="s">
        <v>361</v>
      </c>
      <c r="BS37" s="146" t="s">
        <v>361</v>
      </c>
      <c r="BT37" s="146" t="s">
        <v>361</v>
      </c>
      <c r="BU37" s="146" t="s">
        <v>361</v>
      </c>
      <c r="BV37" s="146" t="s">
        <v>361</v>
      </c>
      <c r="BW37" s="146" t="s">
        <v>361</v>
      </c>
      <c r="BX37" s="146" t="s">
        <v>361</v>
      </c>
      <c r="BY37" s="146" t="s">
        <v>361</v>
      </c>
      <c r="BZ37" s="149" t="s">
        <v>361</v>
      </c>
    </row>
    <row r="38" spans="1:78" s="2" customFormat="1" x14ac:dyDescent="0.25">
      <c r="A38" s="181" t="s">
        <v>238</v>
      </c>
      <c r="B38" s="146" t="s">
        <v>361</v>
      </c>
      <c r="C38" s="146" t="s">
        <v>361</v>
      </c>
      <c r="D38" s="146" t="s">
        <v>360</v>
      </c>
      <c r="E38" s="146" t="s">
        <v>360</v>
      </c>
      <c r="F38" s="146" t="s">
        <v>360</v>
      </c>
      <c r="G38" s="146" t="s">
        <v>361</v>
      </c>
      <c r="H38" s="146" t="s">
        <v>361</v>
      </c>
      <c r="I38" s="146" t="s">
        <v>361</v>
      </c>
      <c r="J38" s="149" t="s">
        <v>361</v>
      </c>
      <c r="K38" s="181" t="s">
        <v>238</v>
      </c>
      <c r="L38" s="146" t="str">
        <f>LOOKUP($K38,PantheonList!$A$18:$A$139,PantheonList!$B$18:$B$139)</f>
        <v>Command</v>
      </c>
      <c r="M38" s="146" t="str">
        <f>LOOKUP($K38,PantheonList!$A$18:$A$139,PantheonList!$C$18:$C$139)</f>
        <v>Control</v>
      </c>
      <c r="N38" s="146" t="str">
        <f>LOOKUP($K38,PantheonList!$A$18:$A$139,PantheonList!$D$18:$D$139)</f>
        <v>Fortitude</v>
      </c>
      <c r="O38" s="146" t="str">
        <f>LOOKUP($K38,PantheonList!$A$18:$A$139,PantheonList!$E$18:$E$139)</f>
        <v>Integrity</v>
      </c>
      <c r="P38" s="146" t="str">
        <f>LOOKUP($K38,PantheonList!$A$18:$A$139,PantheonList!$F$18:$F$139)</f>
        <v>Melee</v>
      </c>
      <c r="Q38" s="146" t="str">
        <f>LOOKUP($K38,PantheonList!$A$18:$A$139,PantheonList!$G$18:$G$139)</f>
        <v>Politics</v>
      </c>
      <c r="R38" s="146" t="str">
        <f t="shared" si="6"/>
        <v>No</v>
      </c>
      <c r="S38" s="146" t="str">
        <f t="shared" si="6"/>
        <v>No</v>
      </c>
      <c r="T38" s="146" t="str">
        <f t="shared" si="6"/>
        <v>No</v>
      </c>
      <c r="U38" s="146" t="str">
        <f t="shared" si="6"/>
        <v>No</v>
      </c>
      <c r="V38" s="146" t="str">
        <f t="shared" si="6"/>
        <v>No</v>
      </c>
      <c r="W38" s="146" t="str">
        <f t="shared" si="6"/>
        <v>No</v>
      </c>
      <c r="X38" s="146" t="str">
        <f t="shared" si="6"/>
        <v>Yes</v>
      </c>
      <c r="Y38" s="146" t="str">
        <f t="shared" si="6"/>
        <v>Yes</v>
      </c>
      <c r="Z38" s="146" t="str">
        <f t="shared" si="6"/>
        <v>No</v>
      </c>
      <c r="AA38" s="146" t="str">
        <f t="shared" si="6"/>
        <v>No</v>
      </c>
      <c r="AB38" s="146" t="str">
        <f t="shared" si="7"/>
        <v>Yes</v>
      </c>
      <c r="AC38" s="146" t="str">
        <f t="shared" si="7"/>
        <v>Yes</v>
      </c>
      <c r="AD38" s="146" t="str">
        <f t="shared" si="7"/>
        <v>No</v>
      </c>
      <c r="AE38" s="146" t="str">
        <f t="shared" si="7"/>
        <v>No</v>
      </c>
      <c r="AF38" s="146" t="str">
        <f t="shared" si="7"/>
        <v>No</v>
      </c>
      <c r="AG38" s="146" t="str">
        <f t="shared" si="7"/>
        <v>No</v>
      </c>
      <c r="AH38" s="146" t="str">
        <f t="shared" si="7"/>
        <v>Yes</v>
      </c>
      <c r="AI38" s="146" t="str">
        <f t="shared" si="7"/>
        <v>No</v>
      </c>
      <c r="AJ38" s="146" t="str">
        <f t="shared" si="7"/>
        <v>Yes</v>
      </c>
      <c r="AK38" s="146" t="str">
        <f t="shared" si="7"/>
        <v>No</v>
      </c>
      <c r="AL38" s="146" t="str">
        <f t="shared" si="7"/>
        <v>No</v>
      </c>
      <c r="AM38" s="146" t="str">
        <f t="shared" si="7"/>
        <v>No</v>
      </c>
      <c r="AN38" s="146" t="str">
        <f t="shared" si="7"/>
        <v>No</v>
      </c>
      <c r="AO38" s="149" t="str">
        <f t="shared" si="7"/>
        <v>No</v>
      </c>
      <c r="AP38" s="181" t="s">
        <v>238</v>
      </c>
      <c r="AQ38" s="146">
        <v>38</v>
      </c>
      <c r="AR38" s="146" t="s">
        <v>361</v>
      </c>
      <c r="AS38" s="146" t="s">
        <v>361</v>
      </c>
      <c r="AT38" s="146" t="s">
        <v>361</v>
      </c>
      <c r="AU38" s="146" t="s">
        <v>361</v>
      </c>
      <c r="AV38" s="146" t="s">
        <v>361</v>
      </c>
      <c r="AW38" s="146" t="s">
        <v>361</v>
      </c>
      <c r="AX38" s="146" t="s">
        <v>361</v>
      </c>
      <c r="AY38" s="146" t="s">
        <v>361</v>
      </c>
      <c r="AZ38" s="146" t="s">
        <v>361</v>
      </c>
      <c r="BA38" s="146" t="s">
        <v>361</v>
      </c>
      <c r="BB38" s="146" t="s">
        <v>361</v>
      </c>
      <c r="BC38" s="146" t="s">
        <v>361</v>
      </c>
      <c r="BD38" s="146" t="s">
        <v>361</v>
      </c>
      <c r="BE38" s="146" t="s">
        <v>360</v>
      </c>
      <c r="BF38" s="146" t="s">
        <v>361</v>
      </c>
      <c r="BG38" s="146" t="s">
        <v>361</v>
      </c>
      <c r="BH38" s="146" t="s">
        <v>361</v>
      </c>
      <c r="BI38" s="146" t="s">
        <v>361</v>
      </c>
      <c r="BJ38" s="146" t="s">
        <v>361</v>
      </c>
      <c r="BK38" s="146" t="s">
        <v>361</v>
      </c>
      <c r="BL38" s="146" t="s">
        <v>360</v>
      </c>
      <c r="BM38" s="146" t="s">
        <v>361</v>
      </c>
      <c r="BN38" s="146" t="s">
        <v>361</v>
      </c>
      <c r="BO38" s="146" t="s">
        <v>361</v>
      </c>
      <c r="BP38" s="146" t="s">
        <v>361</v>
      </c>
      <c r="BQ38" s="146" t="s">
        <v>361</v>
      </c>
      <c r="BR38" s="146" t="s">
        <v>361</v>
      </c>
      <c r="BS38" s="146" t="s">
        <v>361</v>
      </c>
      <c r="BT38" s="146" t="s">
        <v>361</v>
      </c>
      <c r="BU38" s="146" t="s">
        <v>361</v>
      </c>
      <c r="BV38" s="146" t="s">
        <v>361</v>
      </c>
      <c r="BW38" s="146" t="s">
        <v>360</v>
      </c>
      <c r="BX38" s="146" t="s">
        <v>361</v>
      </c>
      <c r="BY38" s="146" t="s">
        <v>360</v>
      </c>
      <c r="BZ38" s="149" t="s">
        <v>361</v>
      </c>
    </row>
    <row r="39" spans="1:78" s="2" customFormat="1" x14ac:dyDescent="0.25">
      <c r="A39" s="181" t="s">
        <v>239</v>
      </c>
      <c r="B39" s="146" t="s">
        <v>361</v>
      </c>
      <c r="C39" s="146" t="s">
        <v>361</v>
      </c>
      <c r="D39" s="146" t="s">
        <v>361</v>
      </c>
      <c r="E39" s="146" t="s">
        <v>360</v>
      </c>
      <c r="F39" s="146" t="s">
        <v>361</v>
      </c>
      <c r="G39" s="146" t="s">
        <v>360</v>
      </c>
      <c r="H39" s="146" t="s">
        <v>360</v>
      </c>
      <c r="I39" s="146" t="s">
        <v>361</v>
      </c>
      <c r="J39" s="149" t="s">
        <v>361</v>
      </c>
      <c r="K39" s="181" t="s">
        <v>239</v>
      </c>
      <c r="L39" s="146" t="str">
        <f>LOOKUP($K39,PantheonList!$A$18:$A$139,PantheonList!$B$18:$B$139)</f>
        <v>Academics</v>
      </c>
      <c r="M39" s="146" t="str">
        <f>LOOKUP($K39,PantheonList!$A$18:$A$139,PantheonList!$C$18:$C$139)</f>
        <v>Awareness</v>
      </c>
      <c r="N39" s="146" t="str">
        <f>LOOKUP($K39,PantheonList!$A$18:$A$139,PantheonList!$D$18:$D$139)</f>
        <v>Empathy</v>
      </c>
      <c r="O39" s="146" t="str">
        <f>LOOKUP($K39,PantheonList!$A$18:$A$139,PantheonList!$E$18:$E$139)</f>
        <v>Investigation</v>
      </c>
      <c r="P39" s="146" t="str">
        <f>LOOKUP($K39,PantheonList!$A$18:$A$139,PantheonList!$F$18:$F$139)</f>
        <v>Medicine</v>
      </c>
      <c r="Q39" s="146" t="str">
        <f>LOOKUP($K39,PantheonList!$A$18:$A$139,PantheonList!$G$18:$G$139)</f>
        <v>Presence</v>
      </c>
      <c r="R39" s="146" t="str">
        <f t="shared" si="6"/>
        <v>Yes</v>
      </c>
      <c r="S39" s="146" t="str">
        <f t="shared" si="6"/>
        <v>No</v>
      </c>
      <c r="T39" s="146" t="str">
        <f t="shared" si="6"/>
        <v>No</v>
      </c>
      <c r="U39" s="146" t="str">
        <f t="shared" si="6"/>
        <v>No</v>
      </c>
      <c r="V39" s="146" t="str">
        <f t="shared" si="6"/>
        <v>Yes</v>
      </c>
      <c r="W39" s="146" t="str">
        <f t="shared" si="6"/>
        <v>No</v>
      </c>
      <c r="X39" s="146" t="str">
        <f t="shared" si="6"/>
        <v>No</v>
      </c>
      <c r="Y39" s="146" t="str">
        <f t="shared" si="6"/>
        <v>No</v>
      </c>
      <c r="Z39" s="146" t="str">
        <f t="shared" si="6"/>
        <v>No</v>
      </c>
      <c r="AA39" s="146" t="str">
        <f t="shared" si="6"/>
        <v>Yes</v>
      </c>
      <c r="AB39" s="146" t="str">
        <f t="shared" si="7"/>
        <v>No</v>
      </c>
      <c r="AC39" s="146" t="str">
        <f t="shared" si="7"/>
        <v>No</v>
      </c>
      <c r="AD39" s="146" t="str">
        <f t="shared" si="7"/>
        <v>Yes</v>
      </c>
      <c r="AE39" s="146" t="str">
        <f t="shared" si="7"/>
        <v>No</v>
      </c>
      <c r="AF39" s="146" t="str">
        <f t="shared" si="7"/>
        <v>No</v>
      </c>
      <c r="AG39" s="146" t="str">
        <f t="shared" si="7"/>
        <v>Yes</v>
      </c>
      <c r="AH39" s="146" t="str">
        <f t="shared" si="7"/>
        <v>No</v>
      </c>
      <c r="AI39" s="146" t="str">
        <f t="shared" si="7"/>
        <v>No</v>
      </c>
      <c r="AJ39" s="146" t="str">
        <f t="shared" si="7"/>
        <v>No</v>
      </c>
      <c r="AK39" s="146" t="str">
        <f t="shared" si="7"/>
        <v>Yes</v>
      </c>
      <c r="AL39" s="146" t="str">
        <f t="shared" si="7"/>
        <v>No</v>
      </c>
      <c r="AM39" s="146" t="str">
        <f t="shared" si="7"/>
        <v>No</v>
      </c>
      <c r="AN39" s="146" t="str">
        <f t="shared" si="7"/>
        <v>No</v>
      </c>
      <c r="AO39" s="149" t="str">
        <f t="shared" si="7"/>
        <v>No</v>
      </c>
      <c r="AP39" s="181" t="s">
        <v>239</v>
      </c>
      <c r="AQ39" s="146">
        <v>39</v>
      </c>
      <c r="AR39" s="146" t="s">
        <v>361</v>
      </c>
      <c r="AS39" s="146" t="s">
        <v>361</v>
      </c>
      <c r="AT39" s="146" t="s">
        <v>361</v>
      </c>
      <c r="AU39" s="146" t="s">
        <v>361</v>
      </c>
      <c r="AV39" s="146" t="s">
        <v>361</v>
      </c>
      <c r="AW39" s="146" t="s">
        <v>361</v>
      </c>
      <c r="AX39" s="146" t="s">
        <v>361</v>
      </c>
      <c r="AY39" s="146" t="s">
        <v>361</v>
      </c>
      <c r="AZ39" s="146" t="s">
        <v>361</v>
      </c>
      <c r="BA39" s="146" t="s">
        <v>361</v>
      </c>
      <c r="BB39" s="146" t="s">
        <v>361</v>
      </c>
      <c r="BC39" s="146" t="s">
        <v>361</v>
      </c>
      <c r="BD39" s="146" t="s">
        <v>361</v>
      </c>
      <c r="BE39" s="146" t="s">
        <v>361</v>
      </c>
      <c r="BF39" s="146" t="s">
        <v>360</v>
      </c>
      <c r="BG39" s="146" t="s">
        <v>361</v>
      </c>
      <c r="BH39" s="146" t="s">
        <v>361</v>
      </c>
      <c r="BI39" s="146" t="s">
        <v>361</v>
      </c>
      <c r="BJ39" s="146" t="s">
        <v>361</v>
      </c>
      <c r="BK39" s="146" t="s">
        <v>361</v>
      </c>
      <c r="BL39" s="146" t="s">
        <v>361</v>
      </c>
      <c r="BM39" s="146" t="s">
        <v>361</v>
      </c>
      <c r="BN39" s="146" t="s">
        <v>361</v>
      </c>
      <c r="BO39" s="146" t="s">
        <v>360</v>
      </c>
      <c r="BP39" s="146" t="s">
        <v>361</v>
      </c>
      <c r="BQ39" s="146" t="s">
        <v>361</v>
      </c>
      <c r="BR39" s="146" t="s">
        <v>361</v>
      </c>
      <c r="BS39" s="146" t="s">
        <v>361</v>
      </c>
      <c r="BT39" s="146" t="s">
        <v>361</v>
      </c>
      <c r="BU39" s="146" t="s">
        <v>361</v>
      </c>
      <c r="BV39" s="146" t="s">
        <v>361</v>
      </c>
      <c r="BW39" s="146" t="s">
        <v>360</v>
      </c>
      <c r="BX39" s="146" t="s">
        <v>361</v>
      </c>
      <c r="BY39" s="146" t="s">
        <v>361</v>
      </c>
      <c r="BZ39" s="149" t="s">
        <v>361</v>
      </c>
    </row>
    <row r="40" spans="1:78" s="2" customFormat="1" x14ac:dyDescent="0.25">
      <c r="A40" s="181" t="s">
        <v>220</v>
      </c>
      <c r="B40" s="146" t="s">
        <v>361</v>
      </c>
      <c r="C40" s="146" t="s">
        <v>360</v>
      </c>
      <c r="D40" s="146" t="s">
        <v>361</v>
      </c>
      <c r="E40" s="146" t="s">
        <v>360</v>
      </c>
      <c r="F40" s="146" t="s">
        <v>361</v>
      </c>
      <c r="G40" s="146" t="s">
        <v>361</v>
      </c>
      <c r="H40" s="146" t="s">
        <v>361</v>
      </c>
      <c r="I40" s="146" t="s">
        <v>361</v>
      </c>
      <c r="J40" s="149" t="s">
        <v>360</v>
      </c>
      <c r="K40" s="181" t="s">
        <v>220</v>
      </c>
      <c r="L40" s="146" t="str">
        <f>LOOKUP($K40,PantheonList!$A$18:$A$139,PantheonList!$B$18:$B$139)</f>
        <v>Athletics</v>
      </c>
      <c r="M40" s="146" t="str">
        <f>LOOKUP($K40,PantheonList!$A$18:$A$139,PantheonList!$C$18:$C$139)</f>
        <v>Command</v>
      </c>
      <c r="N40" s="146" t="str">
        <f>LOOKUP($K40,PantheonList!$A$18:$A$139,PantheonList!$D$18:$D$139)</f>
        <v>Investigation</v>
      </c>
      <c r="O40" s="146" t="str">
        <f>LOOKUP($K40,PantheonList!$A$18:$A$139,PantheonList!$E$18:$E$139)</f>
        <v>Marksmanship</v>
      </c>
      <c r="P40" s="146" t="str">
        <f>LOOKUP($K40,PantheonList!$A$18:$A$139,PantheonList!$F$18:$F$139)</f>
        <v>Melee</v>
      </c>
      <c r="Q40" s="146" t="str">
        <f>LOOKUP($K40,PantheonList!$A$18:$A$139,PantheonList!$G$18:$G$139)</f>
        <v>Science</v>
      </c>
      <c r="R40" s="146" t="str">
        <f t="shared" si="6"/>
        <v>No</v>
      </c>
      <c r="S40" s="146" t="str">
        <f t="shared" si="6"/>
        <v>No</v>
      </c>
      <c r="T40" s="146" t="str">
        <f t="shared" si="6"/>
        <v>No</v>
      </c>
      <c r="U40" s="146" t="str">
        <f t="shared" si="6"/>
        <v>Yes</v>
      </c>
      <c r="V40" s="146" t="str">
        <f t="shared" si="6"/>
        <v>No</v>
      </c>
      <c r="W40" s="146" t="str">
        <f t="shared" si="6"/>
        <v>No</v>
      </c>
      <c r="X40" s="146" t="str">
        <f t="shared" si="6"/>
        <v>Yes</v>
      </c>
      <c r="Y40" s="146" t="str">
        <f t="shared" si="6"/>
        <v>No</v>
      </c>
      <c r="Z40" s="146" t="str">
        <f t="shared" si="6"/>
        <v>No</v>
      </c>
      <c r="AA40" s="146" t="str">
        <f t="shared" si="6"/>
        <v>No</v>
      </c>
      <c r="AB40" s="146" t="str">
        <f t="shared" si="7"/>
        <v>No</v>
      </c>
      <c r="AC40" s="146" t="str">
        <f t="shared" si="7"/>
        <v>No</v>
      </c>
      <c r="AD40" s="146" t="str">
        <f t="shared" si="7"/>
        <v>Yes</v>
      </c>
      <c r="AE40" s="146" t="str">
        <f t="shared" si="7"/>
        <v>No</v>
      </c>
      <c r="AF40" s="146" t="str">
        <f t="shared" si="7"/>
        <v>Yes</v>
      </c>
      <c r="AG40" s="146" t="str">
        <f t="shared" si="7"/>
        <v>No</v>
      </c>
      <c r="AH40" s="146" t="str">
        <f t="shared" si="7"/>
        <v>Yes</v>
      </c>
      <c r="AI40" s="146" t="str">
        <f t="shared" si="7"/>
        <v>No</v>
      </c>
      <c r="AJ40" s="146" t="str">
        <f t="shared" si="7"/>
        <v>No</v>
      </c>
      <c r="AK40" s="146" t="str">
        <f t="shared" si="7"/>
        <v>No</v>
      </c>
      <c r="AL40" s="146" t="str">
        <f t="shared" si="7"/>
        <v>Yes</v>
      </c>
      <c r="AM40" s="146" t="str">
        <f t="shared" si="7"/>
        <v>No</v>
      </c>
      <c r="AN40" s="146" t="str">
        <f t="shared" si="7"/>
        <v>No</v>
      </c>
      <c r="AO40" s="149" t="str">
        <f t="shared" si="7"/>
        <v>No</v>
      </c>
      <c r="AP40" s="181" t="s">
        <v>220</v>
      </c>
      <c r="AQ40" s="146">
        <v>40</v>
      </c>
      <c r="AR40" s="146" t="s">
        <v>360</v>
      </c>
      <c r="AS40" s="146" t="s">
        <v>361</v>
      </c>
      <c r="AT40" s="146" t="s">
        <v>361</v>
      </c>
      <c r="AU40" s="146" t="s">
        <v>361</v>
      </c>
      <c r="AV40" s="146" t="s">
        <v>361</v>
      </c>
      <c r="AW40" s="146" t="s">
        <v>361</v>
      </c>
      <c r="AX40" s="146" t="s">
        <v>361</v>
      </c>
      <c r="AY40" s="146" t="s">
        <v>361</v>
      </c>
      <c r="AZ40" s="146" t="s">
        <v>361</v>
      </c>
      <c r="BA40" s="146" t="s">
        <v>361</v>
      </c>
      <c r="BB40" s="146" t="s">
        <v>360</v>
      </c>
      <c r="BC40" s="146" t="s">
        <v>361</v>
      </c>
      <c r="BD40" s="146" t="s">
        <v>361</v>
      </c>
      <c r="BE40" s="146" t="s">
        <v>360</v>
      </c>
      <c r="BF40" s="146" t="s">
        <v>361</v>
      </c>
      <c r="BG40" s="146" t="s">
        <v>361</v>
      </c>
      <c r="BH40" s="146" t="s">
        <v>361</v>
      </c>
      <c r="BI40" s="146" t="s">
        <v>361</v>
      </c>
      <c r="BJ40" s="146" t="s">
        <v>361</v>
      </c>
      <c r="BK40" s="146" t="s">
        <v>361</v>
      </c>
      <c r="BL40" s="146" t="s">
        <v>361</v>
      </c>
      <c r="BM40" s="146" t="s">
        <v>361</v>
      </c>
      <c r="BN40" s="146" t="s">
        <v>361</v>
      </c>
      <c r="BO40" s="146" t="s">
        <v>361</v>
      </c>
      <c r="BP40" s="146" t="s">
        <v>361</v>
      </c>
      <c r="BQ40" s="146" t="s">
        <v>361</v>
      </c>
      <c r="BR40" s="146" t="s">
        <v>361</v>
      </c>
      <c r="BS40" s="146" t="s">
        <v>361</v>
      </c>
      <c r="BT40" s="146" t="s">
        <v>361</v>
      </c>
      <c r="BU40" s="146" t="s">
        <v>361</v>
      </c>
      <c r="BV40" s="146" t="s">
        <v>361</v>
      </c>
      <c r="BW40" s="146" t="s">
        <v>361</v>
      </c>
      <c r="BX40" s="146" t="s">
        <v>360</v>
      </c>
      <c r="BY40" s="146" t="s">
        <v>360</v>
      </c>
      <c r="BZ40" s="149" t="s">
        <v>361</v>
      </c>
    </row>
    <row r="41" spans="1:78" s="2" customFormat="1" x14ac:dyDescent="0.25">
      <c r="A41" s="181" t="s">
        <v>268</v>
      </c>
      <c r="B41" s="146" t="s">
        <v>361</v>
      </c>
      <c r="C41" s="146" t="s">
        <v>361</v>
      </c>
      <c r="D41" s="146" t="s">
        <v>361</v>
      </c>
      <c r="E41" s="146" t="s">
        <v>360</v>
      </c>
      <c r="F41" s="146" t="s">
        <v>360</v>
      </c>
      <c r="G41" s="146" t="s">
        <v>361</v>
      </c>
      <c r="H41" s="146" t="s">
        <v>361</v>
      </c>
      <c r="I41" s="146" t="s">
        <v>361</v>
      </c>
      <c r="J41" s="149" t="s">
        <v>361</v>
      </c>
      <c r="K41" s="181" t="s">
        <v>268</v>
      </c>
      <c r="L41" s="146" t="str">
        <f>LOOKUP($K41,PantheonList!$A$18:$A$139,PantheonList!$B$18:$B$139)</f>
        <v>Academics</v>
      </c>
      <c r="M41" s="146" t="str">
        <f>LOOKUP($K41,PantheonList!$A$18:$A$139,PantheonList!$C$18:$C$139)</f>
        <v>Command</v>
      </c>
      <c r="N41" s="146" t="str">
        <f>LOOKUP($K41,PantheonList!$A$18:$A$139,PantheonList!$D$18:$D$139)</f>
        <v>Occult</v>
      </c>
      <c r="O41" s="146" t="str">
        <f>LOOKUP($K41,PantheonList!$A$18:$A$139,PantheonList!$E$18:$E$139)</f>
        <v>Presence</v>
      </c>
      <c r="P41" s="146" t="str">
        <f>LOOKUP($K41,PantheonList!$A$18:$A$139,PantheonList!$F$18:$F$139)</f>
        <v>Stealth</v>
      </c>
      <c r="Q41" s="146" t="str">
        <f>LOOKUP($K41,PantheonList!$A$18:$A$139,PantheonList!$G$18:$G$139)</f>
        <v>Thrown</v>
      </c>
      <c r="R41" s="146" t="str">
        <f t="shared" si="6"/>
        <v>Yes</v>
      </c>
      <c r="S41" s="146" t="str">
        <f t="shared" si="6"/>
        <v>No</v>
      </c>
      <c r="T41" s="146" t="str">
        <f t="shared" si="6"/>
        <v>No</v>
      </c>
      <c r="U41" s="146" t="str">
        <f t="shared" si="6"/>
        <v>No</v>
      </c>
      <c r="V41" s="146" t="str">
        <f t="shared" si="6"/>
        <v>No</v>
      </c>
      <c r="W41" s="146" t="str">
        <f t="shared" si="6"/>
        <v>No</v>
      </c>
      <c r="X41" s="146" t="str">
        <f t="shared" si="6"/>
        <v>Yes</v>
      </c>
      <c r="Y41" s="146" t="str">
        <f t="shared" si="6"/>
        <v>No</v>
      </c>
      <c r="Z41" s="146" t="str">
        <f t="shared" si="6"/>
        <v>No</v>
      </c>
      <c r="AA41" s="146" t="str">
        <f t="shared" si="6"/>
        <v>No</v>
      </c>
      <c r="AB41" s="146" t="str">
        <f t="shared" si="7"/>
        <v>No</v>
      </c>
      <c r="AC41" s="146" t="str">
        <f t="shared" si="7"/>
        <v>No</v>
      </c>
      <c r="AD41" s="146" t="str">
        <f t="shared" si="7"/>
        <v>No</v>
      </c>
      <c r="AE41" s="146" t="str">
        <f t="shared" si="7"/>
        <v>No</v>
      </c>
      <c r="AF41" s="146" t="str">
        <f t="shared" si="7"/>
        <v>No</v>
      </c>
      <c r="AG41" s="146" t="str">
        <f t="shared" si="7"/>
        <v>No</v>
      </c>
      <c r="AH41" s="146" t="str">
        <f t="shared" si="7"/>
        <v>No</v>
      </c>
      <c r="AI41" s="146" t="str">
        <f t="shared" si="7"/>
        <v>Yes</v>
      </c>
      <c r="AJ41" s="146" t="str">
        <f t="shared" si="7"/>
        <v>No</v>
      </c>
      <c r="AK41" s="146" t="str">
        <f t="shared" si="7"/>
        <v>Yes</v>
      </c>
      <c r="AL41" s="146" t="str">
        <f t="shared" si="7"/>
        <v>No</v>
      </c>
      <c r="AM41" s="146" t="str">
        <f t="shared" si="7"/>
        <v>Yes</v>
      </c>
      <c r="AN41" s="146" t="str">
        <f t="shared" si="7"/>
        <v>No</v>
      </c>
      <c r="AO41" s="149" t="str">
        <f t="shared" si="7"/>
        <v>Yes</v>
      </c>
      <c r="AP41" s="181" t="s">
        <v>268</v>
      </c>
      <c r="AQ41" s="146">
        <v>41</v>
      </c>
      <c r="AR41" s="146" t="s">
        <v>361</v>
      </c>
      <c r="AS41" s="146" t="s">
        <v>360</v>
      </c>
      <c r="AT41" s="146" t="s">
        <v>361</v>
      </c>
      <c r="AU41" s="146" t="s">
        <v>361</v>
      </c>
      <c r="AV41" s="146" t="s">
        <v>361</v>
      </c>
      <c r="AW41" s="146" t="s">
        <v>361</v>
      </c>
      <c r="AX41" s="146" t="s">
        <v>360</v>
      </c>
      <c r="AY41" s="146" t="s">
        <v>360</v>
      </c>
      <c r="AZ41" s="146" t="s">
        <v>360</v>
      </c>
      <c r="BA41" s="146" t="s">
        <v>361</v>
      </c>
      <c r="BB41" s="146" t="s">
        <v>361</v>
      </c>
      <c r="BC41" s="146" t="s">
        <v>361</v>
      </c>
      <c r="BD41" s="146" t="s">
        <v>361</v>
      </c>
      <c r="BE41" s="146" t="s">
        <v>361</v>
      </c>
      <c r="BF41" s="146" t="s">
        <v>361</v>
      </c>
      <c r="BG41" s="146" t="s">
        <v>361</v>
      </c>
      <c r="BH41" s="146" t="s">
        <v>361</v>
      </c>
      <c r="BI41" s="146" t="s">
        <v>361</v>
      </c>
      <c r="BJ41" s="146" t="s">
        <v>361</v>
      </c>
      <c r="BK41" s="146" t="s">
        <v>361</v>
      </c>
      <c r="BL41" s="146" t="s">
        <v>361</v>
      </c>
      <c r="BM41" s="146" t="s">
        <v>361</v>
      </c>
      <c r="BN41" s="146" t="s">
        <v>361</v>
      </c>
      <c r="BO41" s="146" t="s">
        <v>361</v>
      </c>
      <c r="BP41" s="146" t="s">
        <v>361</v>
      </c>
      <c r="BQ41" s="146" t="s">
        <v>361</v>
      </c>
      <c r="BR41" s="146" t="s">
        <v>361</v>
      </c>
      <c r="BS41" s="146" t="s">
        <v>361</v>
      </c>
      <c r="BT41" s="146" t="s">
        <v>361</v>
      </c>
      <c r="BU41" s="146" t="s">
        <v>361</v>
      </c>
      <c r="BV41" s="146" t="s">
        <v>361</v>
      </c>
      <c r="BW41" s="146" t="s">
        <v>361</v>
      </c>
      <c r="BX41" s="146" t="s">
        <v>361</v>
      </c>
      <c r="BY41" s="146" t="s">
        <v>361</v>
      </c>
      <c r="BZ41" s="149" t="s">
        <v>361</v>
      </c>
    </row>
    <row r="42" spans="1:78" s="2" customFormat="1" x14ac:dyDescent="0.25">
      <c r="A42" s="181" t="s">
        <v>306</v>
      </c>
      <c r="B42" s="146" t="s">
        <v>360</v>
      </c>
      <c r="C42" s="146" t="s">
        <v>361</v>
      </c>
      <c r="D42" s="146" t="s">
        <v>361</v>
      </c>
      <c r="E42" s="146" t="s">
        <v>361</v>
      </c>
      <c r="F42" s="146" t="s">
        <v>361</v>
      </c>
      <c r="G42" s="146" t="s">
        <v>361</v>
      </c>
      <c r="H42" s="146" t="s">
        <v>361</v>
      </c>
      <c r="I42" s="146" t="s">
        <v>361</v>
      </c>
      <c r="J42" s="149" t="s">
        <v>361</v>
      </c>
      <c r="K42" s="181" t="s">
        <v>306</v>
      </c>
      <c r="L42" s="146" t="str">
        <f>LOOKUP($K42,PantheonList!$A$18:$A$139,PantheonList!$B$18:$B$139)</f>
        <v>Athletics</v>
      </c>
      <c r="M42" s="146" t="str">
        <f>LOOKUP($K42,PantheonList!$A$18:$A$139,PantheonList!$C$18:$C$139)</f>
        <v>Brawl</v>
      </c>
      <c r="N42" s="146" t="str">
        <f>LOOKUP($K42,PantheonList!$A$18:$A$139,PantheonList!$D$18:$D$139)</f>
        <v>Craft</v>
      </c>
      <c r="O42" s="146" t="str">
        <f>LOOKUP($K42,PantheonList!$A$18:$A$139,PantheonList!$E$18:$E$139)</f>
        <v>Medicine</v>
      </c>
      <c r="P42" s="146" t="str">
        <f>LOOKUP($K42,PantheonList!$A$18:$A$139,PantheonList!$F$18:$F$139)</f>
        <v>Science</v>
      </c>
      <c r="Q42" s="146" t="str">
        <f>LOOKUP($K42,PantheonList!$A$18:$A$139,PantheonList!$G$18:$G$139)</f>
        <v>Survival</v>
      </c>
      <c r="R42" s="146" t="str">
        <f t="shared" ref="R42:AA51" si="8">IF(OR($Q42=R$1,$P42=R$1,$O42=R$1,$N42=R$1,$M42=R$1,$L42=R$1),"Yes","No")</f>
        <v>No</v>
      </c>
      <c r="S42" s="146" t="str">
        <f t="shared" si="8"/>
        <v>No</v>
      </c>
      <c r="T42" s="146" t="str">
        <f t="shared" si="8"/>
        <v>No</v>
      </c>
      <c r="U42" s="146" t="str">
        <f t="shared" si="8"/>
        <v>Yes</v>
      </c>
      <c r="V42" s="146" t="str">
        <f t="shared" si="8"/>
        <v>No</v>
      </c>
      <c r="W42" s="146" t="str">
        <f t="shared" si="8"/>
        <v>Yes</v>
      </c>
      <c r="X42" s="146" t="str">
        <f t="shared" si="8"/>
        <v>No</v>
      </c>
      <c r="Y42" s="146" t="str">
        <f t="shared" si="8"/>
        <v>No</v>
      </c>
      <c r="Z42" s="146" t="str">
        <f t="shared" si="8"/>
        <v>Yes</v>
      </c>
      <c r="AA42" s="146" t="str">
        <f t="shared" si="8"/>
        <v>No</v>
      </c>
      <c r="AB42" s="146" t="str">
        <f t="shared" ref="AB42:AO51" si="9">IF(OR($Q42=AB$1,$P42=AB$1,$O42=AB$1,$N42=AB$1,$M42=AB$1,$L42=AB$1),"Yes","No")</f>
        <v>No</v>
      </c>
      <c r="AC42" s="146" t="str">
        <f t="shared" si="9"/>
        <v>No</v>
      </c>
      <c r="AD42" s="146" t="str">
        <f t="shared" si="9"/>
        <v>No</v>
      </c>
      <c r="AE42" s="146" t="str">
        <f t="shared" si="9"/>
        <v>No</v>
      </c>
      <c r="AF42" s="146" t="str">
        <f t="shared" si="9"/>
        <v>No</v>
      </c>
      <c r="AG42" s="146" t="str">
        <f t="shared" si="9"/>
        <v>Yes</v>
      </c>
      <c r="AH42" s="146" t="str">
        <f t="shared" si="9"/>
        <v>No</v>
      </c>
      <c r="AI42" s="146" t="str">
        <f t="shared" si="9"/>
        <v>No</v>
      </c>
      <c r="AJ42" s="146" t="str">
        <f t="shared" si="9"/>
        <v>No</v>
      </c>
      <c r="AK42" s="146" t="str">
        <f t="shared" si="9"/>
        <v>No</v>
      </c>
      <c r="AL42" s="146" t="str">
        <f t="shared" si="9"/>
        <v>Yes</v>
      </c>
      <c r="AM42" s="146" t="str">
        <f t="shared" si="9"/>
        <v>No</v>
      </c>
      <c r="AN42" s="146" t="str">
        <f t="shared" si="9"/>
        <v>Yes</v>
      </c>
      <c r="AO42" s="149" t="str">
        <f t="shared" si="9"/>
        <v>No</v>
      </c>
      <c r="AP42" s="181" t="s">
        <v>306</v>
      </c>
      <c r="AQ42" s="146">
        <v>42</v>
      </c>
      <c r="AR42" s="146" t="s">
        <v>361</v>
      </c>
      <c r="AS42" s="146" t="s">
        <v>361</v>
      </c>
      <c r="AT42" s="146" t="s">
        <v>360</v>
      </c>
      <c r="AU42" s="146" t="s">
        <v>361</v>
      </c>
      <c r="AV42" s="146" t="s">
        <v>361</v>
      </c>
      <c r="AW42" s="146" t="s">
        <v>361</v>
      </c>
      <c r="AX42" s="146" t="s">
        <v>361</v>
      </c>
      <c r="AY42" s="146" t="s">
        <v>361</v>
      </c>
      <c r="AZ42" s="146" t="s">
        <v>360</v>
      </c>
      <c r="BA42" s="146" t="s">
        <v>361</v>
      </c>
      <c r="BB42" s="146" t="s">
        <v>360</v>
      </c>
      <c r="BC42" s="146" t="s">
        <v>361</v>
      </c>
      <c r="BD42" s="146" t="s">
        <v>361</v>
      </c>
      <c r="BE42" s="146" t="s">
        <v>361</v>
      </c>
      <c r="BF42" s="146" t="s">
        <v>360</v>
      </c>
      <c r="BG42" s="146" t="s">
        <v>361</v>
      </c>
      <c r="BH42" s="146" t="s">
        <v>361</v>
      </c>
      <c r="BI42" s="146" t="s">
        <v>361</v>
      </c>
      <c r="BJ42" s="146" t="s">
        <v>361</v>
      </c>
      <c r="BK42" s="146" t="s">
        <v>361</v>
      </c>
      <c r="BL42" s="146" t="s">
        <v>361</v>
      </c>
      <c r="BM42" s="146" t="s">
        <v>360</v>
      </c>
      <c r="BN42" s="146" t="s">
        <v>361</v>
      </c>
      <c r="BO42" s="146" t="s">
        <v>361</v>
      </c>
      <c r="BP42" s="146" t="s">
        <v>361</v>
      </c>
      <c r="BQ42" s="146" t="s">
        <v>361</v>
      </c>
      <c r="BR42" s="146" t="s">
        <v>361</v>
      </c>
      <c r="BS42" s="146" t="s">
        <v>361</v>
      </c>
      <c r="BT42" s="146" t="s">
        <v>361</v>
      </c>
      <c r="BU42" s="146" t="s">
        <v>361</v>
      </c>
      <c r="BV42" s="146" t="s">
        <v>361</v>
      </c>
      <c r="BW42" s="146" t="s">
        <v>361</v>
      </c>
      <c r="BX42" s="146" t="s">
        <v>361</v>
      </c>
      <c r="BY42" s="146" t="s">
        <v>361</v>
      </c>
      <c r="BZ42" s="149" t="s">
        <v>361</v>
      </c>
    </row>
    <row r="43" spans="1:78" s="2" customFormat="1" x14ac:dyDescent="0.25">
      <c r="A43" s="181" t="s">
        <v>208</v>
      </c>
      <c r="B43" s="146" t="s">
        <v>361</v>
      </c>
      <c r="C43" s="146" t="s">
        <v>361</v>
      </c>
      <c r="D43" s="146" t="s">
        <v>361</v>
      </c>
      <c r="E43" s="146" t="s">
        <v>361</v>
      </c>
      <c r="F43" s="146" t="s">
        <v>361</v>
      </c>
      <c r="G43" s="146" t="s">
        <v>361</v>
      </c>
      <c r="H43" s="146" t="s">
        <v>360</v>
      </c>
      <c r="I43" s="146" t="s">
        <v>361</v>
      </c>
      <c r="J43" s="149" t="s">
        <v>361</v>
      </c>
      <c r="K43" s="181" t="s">
        <v>208</v>
      </c>
      <c r="L43" s="146" t="str">
        <f>LOOKUP($K43,PantheonList!$A$18:$A$139,PantheonList!$B$18:$B$139)</f>
        <v>Awareness</v>
      </c>
      <c r="M43" s="146" t="str">
        <f>LOOKUP($K43,PantheonList!$A$18:$A$139,PantheonList!$C$18:$C$139)</f>
        <v>Command</v>
      </c>
      <c r="N43" s="146" t="str">
        <f>LOOKUP($K43,PantheonList!$A$18:$A$139,PantheonList!$D$18:$D$139)</f>
        <v>Investigation</v>
      </c>
      <c r="O43" s="146" t="str">
        <f>LOOKUP($K43,PantheonList!$A$18:$A$139,PantheonList!$E$18:$E$139)</f>
        <v>Marksmanship</v>
      </c>
      <c r="P43" s="146" t="str">
        <f>LOOKUP($K43,PantheonList!$A$18:$A$139,PantheonList!$F$18:$F$139)</f>
        <v>melee</v>
      </c>
      <c r="Q43" s="146" t="str">
        <f>LOOKUP($K43,PantheonList!$A$18:$A$139,PantheonList!$G$18:$G$139)</f>
        <v>Stealth</v>
      </c>
      <c r="R43" s="146" t="str">
        <f t="shared" si="8"/>
        <v>No</v>
      </c>
      <c r="S43" s="146" t="str">
        <f t="shared" si="8"/>
        <v>No</v>
      </c>
      <c r="T43" s="146" t="str">
        <f t="shared" si="8"/>
        <v>No</v>
      </c>
      <c r="U43" s="146" t="str">
        <f t="shared" si="8"/>
        <v>No</v>
      </c>
      <c r="V43" s="146" t="str">
        <f t="shared" si="8"/>
        <v>Yes</v>
      </c>
      <c r="W43" s="146" t="str">
        <f t="shared" si="8"/>
        <v>No</v>
      </c>
      <c r="X43" s="146" t="str">
        <f t="shared" si="8"/>
        <v>Yes</v>
      </c>
      <c r="Y43" s="146" t="str">
        <f t="shared" si="8"/>
        <v>No</v>
      </c>
      <c r="Z43" s="146" t="str">
        <f t="shared" si="8"/>
        <v>No</v>
      </c>
      <c r="AA43" s="146" t="str">
        <f t="shared" si="8"/>
        <v>No</v>
      </c>
      <c r="AB43" s="146" t="str">
        <f t="shared" si="9"/>
        <v>No</v>
      </c>
      <c r="AC43" s="146" t="str">
        <f t="shared" si="9"/>
        <v>No</v>
      </c>
      <c r="AD43" s="146" t="str">
        <f t="shared" si="9"/>
        <v>Yes</v>
      </c>
      <c r="AE43" s="146" t="str">
        <f t="shared" si="9"/>
        <v>No</v>
      </c>
      <c r="AF43" s="146" t="str">
        <f t="shared" si="9"/>
        <v>Yes</v>
      </c>
      <c r="AG43" s="146" t="str">
        <f t="shared" si="9"/>
        <v>No</v>
      </c>
      <c r="AH43" s="146" t="str">
        <f t="shared" si="9"/>
        <v>Yes</v>
      </c>
      <c r="AI43" s="146" t="str">
        <f t="shared" si="9"/>
        <v>No</v>
      </c>
      <c r="AJ43" s="146" t="str">
        <f t="shared" si="9"/>
        <v>No</v>
      </c>
      <c r="AK43" s="146" t="str">
        <f t="shared" si="9"/>
        <v>No</v>
      </c>
      <c r="AL43" s="146" t="str">
        <f t="shared" si="9"/>
        <v>No</v>
      </c>
      <c r="AM43" s="146" t="str">
        <f t="shared" si="9"/>
        <v>Yes</v>
      </c>
      <c r="AN43" s="146" t="str">
        <f t="shared" si="9"/>
        <v>No</v>
      </c>
      <c r="AO43" s="149" t="str">
        <f t="shared" si="9"/>
        <v>No</v>
      </c>
      <c r="AP43" s="181" t="s">
        <v>208</v>
      </c>
      <c r="AQ43" s="146">
        <v>43</v>
      </c>
      <c r="AR43" s="146" t="s">
        <v>361</v>
      </c>
      <c r="AS43" s="146" t="s">
        <v>361</v>
      </c>
      <c r="AT43" s="146" t="s">
        <v>361</v>
      </c>
      <c r="AU43" s="146" t="s">
        <v>361</v>
      </c>
      <c r="AV43" s="146" t="s">
        <v>361</v>
      </c>
      <c r="AW43" s="146" t="s">
        <v>361</v>
      </c>
      <c r="AX43" s="146" t="s">
        <v>361</v>
      </c>
      <c r="AY43" s="146" t="s">
        <v>361</v>
      </c>
      <c r="AZ43" s="146" t="s">
        <v>361</v>
      </c>
      <c r="BA43" s="146" t="s">
        <v>361</v>
      </c>
      <c r="BB43" s="146" t="s">
        <v>361</v>
      </c>
      <c r="BC43" s="146" t="s">
        <v>361</v>
      </c>
      <c r="BD43" s="146" t="s">
        <v>361</v>
      </c>
      <c r="BE43" s="146" t="s">
        <v>360</v>
      </c>
      <c r="BF43" s="146" t="s">
        <v>361</v>
      </c>
      <c r="BG43" s="146" t="s">
        <v>361</v>
      </c>
      <c r="BH43" s="146" t="s">
        <v>361</v>
      </c>
      <c r="BI43" s="146" t="s">
        <v>361</v>
      </c>
      <c r="BJ43" s="146" t="s">
        <v>361</v>
      </c>
      <c r="BK43" s="146" t="s">
        <v>360</v>
      </c>
      <c r="BL43" s="146" t="s">
        <v>361</v>
      </c>
      <c r="BM43" s="146" t="s">
        <v>361</v>
      </c>
      <c r="BN43" s="146" t="s">
        <v>361</v>
      </c>
      <c r="BO43" s="146" t="s">
        <v>361</v>
      </c>
      <c r="BP43" s="146" t="s">
        <v>361</v>
      </c>
      <c r="BQ43" s="146" t="s">
        <v>361</v>
      </c>
      <c r="BR43" s="146" t="s">
        <v>361</v>
      </c>
      <c r="BS43" s="146" t="s">
        <v>361</v>
      </c>
      <c r="BT43" s="146" t="s">
        <v>361</v>
      </c>
      <c r="BU43" s="146" t="s">
        <v>361</v>
      </c>
      <c r="BV43" s="146" t="s">
        <v>360</v>
      </c>
      <c r="BW43" s="146" t="s">
        <v>361</v>
      </c>
      <c r="BX43" s="146" t="s">
        <v>361</v>
      </c>
      <c r="BY43" s="146" t="s">
        <v>361</v>
      </c>
      <c r="BZ43" s="149" t="s">
        <v>361</v>
      </c>
    </row>
    <row r="44" spans="1:78" s="2" customFormat="1" x14ac:dyDescent="0.25">
      <c r="A44" s="181" t="s">
        <v>210</v>
      </c>
      <c r="B44" s="146" t="s">
        <v>361</v>
      </c>
      <c r="C44" s="146" t="s">
        <v>361</v>
      </c>
      <c r="D44" s="146" t="s">
        <v>361</v>
      </c>
      <c r="E44" s="146" t="s">
        <v>361</v>
      </c>
      <c r="F44" s="146" t="s">
        <v>360</v>
      </c>
      <c r="G44" s="146" t="s">
        <v>360</v>
      </c>
      <c r="H44" s="146" t="s">
        <v>361</v>
      </c>
      <c r="I44" s="146" t="s">
        <v>361</v>
      </c>
      <c r="J44" s="149" t="s">
        <v>361</v>
      </c>
      <c r="K44" s="181" t="s">
        <v>210</v>
      </c>
      <c r="L44" s="146" t="str">
        <f>LOOKUP($K44,PantheonList!$A$18:$A$139,PantheonList!$B$18:$B$139)</f>
        <v>Command</v>
      </c>
      <c r="M44" s="146" t="str">
        <f>LOOKUP($K44,PantheonList!$A$18:$A$139,PantheonList!$C$18:$C$139)</f>
        <v>Control</v>
      </c>
      <c r="N44" s="146" t="str">
        <f>LOOKUP($K44,PantheonList!$A$18:$A$139,PantheonList!$D$18:$D$139)</f>
        <v>Fortitude</v>
      </c>
      <c r="O44" s="146" t="str">
        <f>LOOKUP($K44,PantheonList!$A$18:$A$139,PantheonList!$E$18:$E$139)</f>
        <v>Investigation</v>
      </c>
      <c r="P44" s="146" t="str">
        <f>LOOKUP($K44,PantheonList!$A$18:$A$139,PantheonList!$F$18:$F$139)</f>
        <v>Melee</v>
      </c>
      <c r="Q44" s="146" t="str">
        <f>LOOKUP($K44,PantheonList!$A$18:$A$139,PantheonList!$G$18:$G$139)</f>
        <v>Presence</v>
      </c>
      <c r="R44" s="146" t="str">
        <f t="shared" si="8"/>
        <v>No</v>
      </c>
      <c r="S44" s="146" t="str">
        <f t="shared" si="8"/>
        <v>No</v>
      </c>
      <c r="T44" s="146" t="str">
        <f t="shared" si="8"/>
        <v>No</v>
      </c>
      <c r="U44" s="146" t="str">
        <f t="shared" si="8"/>
        <v>No</v>
      </c>
      <c r="V44" s="146" t="str">
        <f t="shared" si="8"/>
        <v>No</v>
      </c>
      <c r="W44" s="146" t="str">
        <f t="shared" si="8"/>
        <v>No</v>
      </c>
      <c r="X44" s="146" t="str">
        <f t="shared" si="8"/>
        <v>Yes</v>
      </c>
      <c r="Y44" s="146" t="str">
        <f t="shared" si="8"/>
        <v>Yes</v>
      </c>
      <c r="Z44" s="146" t="str">
        <f t="shared" si="8"/>
        <v>No</v>
      </c>
      <c r="AA44" s="146" t="str">
        <f t="shared" si="8"/>
        <v>No</v>
      </c>
      <c r="AB44" s="146" t="str">
        <f t="shared" si="9"/>
        <v>Yes</v>
      </c>
      <c r="AC44" s="146" t="str">
        <f t="shared" si="9"/>
        <v>No</v>
      </c>
      <c r="AD44" s="146" t="str">
        <f t="shared" si="9"/>
        <v>Yes</v>
      </c>
      <c r="AE44" s="146" t="str">
        <f t="shared" si="9"/>
        <v>No</v>
      </c>
      <c r="AF44" s="146" t="str">
        <f t="shared" si="9"/>
        <v>No</v>
      </c>
      <c r="AG44" s="146" t="str">
        <f t="shared" si="9"/>
        <v>No</v>
      </c>
      <c r="AH44" s="146" t="str">
        <f t="shared" si="9"/>
        <v>Yes</v>
      </c>
      <c r="AI44" s="146" t="str">
        <f t="shared" si="9"/>
        <v>No</v>
      </c>
      <c r="AJ44" s="146" t="str">
        <f t="shared" si="9"/>
        <v>No</v>
      </c>
      <c r="AK44" s="146" t="str">
        <f t="shared" si="9"/>
        <v>Yes</v>
      </c>
      <c r="AL44" s="146" t="str">
        <f t="shared" si="9"/>
        <v>No</v>
      </c>
      <c r="AM44" s="146" t="str">
        <f t="shared" si="9"/>
        <v>No</v>
      </c>
      <c r="AN44" s="146" t="str">
        <f t="shared" si="9"/>
        <v>No</v>
      </c>
      <c r="AO44" s="149" t="str">
        <f t="shared" si="9"/>
        <v>No</v>
      </c>
      <c r="AP44" s="181" t="s">
        <v>210</v>
      </c>
      <c r="AQ44" s="146">
        <v>44</v>
      </c>
      <c r="AR44" s="146" t="s">
        <v>361</v>
      </c>
      <c r="AS44" s="146" t="s">
        <v>361</v>
      </c>
      <c r="AT44" s="146" t="s">
        <v>361</v>
      </c>
      <c r="AU44" s="146" t="s">
        <v>361</v>
      </c>
      <c r="AV44" s="146" t="s">
        <v>361</v>
      </c>
      <c r="AW44" s="146" t="s">
        <v>361</v>
      </c>
      <c r="AX44" s="146" t="s">
        <v>361</v>
      </c>
      <c r="AY44" s="146" t="s">
        <v>360</v>
      </c>
      <c r="AZ44" s="146" t="s">
        <v>361</v>
      </c>
      <c r="BA44" s="146" t="s">
        <v>361</v>
      </c>
      <c r="BB44" s="146" t="s">
        <v>361</v>
      </c>
      <c r="BC44" s="146" t="s">
        <v>361</v>
      </c>
      <c r="BD44" s="146" t="s">
        <v>361</v>
      </c>
      <c r="BE44" s="146" t="s">
        <v>361</v>
      </c>
      <c r="BF44" s="146" t="s">
        <v>361</v>
      </c>
      <c r="BG44" s="146" t="s">
        <v>361</v>
      </c>
      <c r="BH44" s="146" t="s">
        <v>361</v>
      </c>
      <c r="BI44" s="146" t="s">
        <v>361</v>
      </c>
      <c r="BJ44" s="146" t="s">
        <v>361</v>
      </c>
      <c r="BK44" s="146" t="s">
        <v>360</v>
      </c>
      <c r="BL44" s="146" t="s">
        <v>361</v>
      </c>
      <c r="BM44" s="146" t="s">
        <v>361</v>
      </c>
      <c r="BN44" s="146" t="s">
        <v>361</v>
      </c>
      <c r="BO44" s="146" t="s">
        <v>361</v>
      </c>
      <c r="BP44" s="146" t="s">
        <v>361</v>
      </c>
      <c r="BQ44" s="146" t="s">
        <v>361</v>
      </c>
      <c r="BR44" s="146" t="s">
        <v>361</v>
      </c>
      <c r="BS44" s="146" t="s">
        <v>361</v>
      </c>
      <c r="BT44" s="146" t="s">
        <v>361</v>
      </c>
      <c r="BU44" s="146" t="s">
        <v>361</v>
      </c>
      <c r="BV44" s="146" t="s">
        <v>361</v>
      </c>
      <c r="BW44" s="146" t="s">
        <v>361</v>
      </c>
      <c r="BX44" s="146" t="s">
        <v>361</v>
      </c>
      <c r="BY44" s="146" t="s">
        <v>361</v>
      </c>
      <c r="BZ44" s="149" t="s">
        <v>361</v>
      </c>
    </row>
    <row r="45" spans="1:78" s="2" customFormat="1" x14ac:dyDescent="0.25">
      <c r="A45" s="181" t="s">
        <v>269</v>
      </c>
      <c r="B45" s="146" t="s">
        <v>360</v>
      </c>
      <c r="C45" s="146" t="s">
        <v>361</v>
      </c>
      <c r="D45" s="146" t="s">
        <v>360</v>
      </c>
      <c r="E45" s="146" t="s">
        <v>361</v>
      </c>
      <c r="F45" s="146" t="s">
        <v>361</v>
      </c>
      <c r="G45" s="146" t="s">
        <v>361</v>
      </c>
      <c r="H45" s="146" t="s">
        <v>361</v>
      </c>
      <c r="I45" s="146" t="s">
        <v>360</v>
      </c>
      <c r="J45" s="149" t="s">
        <v>361</v>
      </c>
      <c r="K45" s="181" t="s">
        <v>269</v>
      </c>
      <c r="L45" s="146" t="str">
        <f>LOOKUP($K45,PantheonList!$A$18:$A$139,PantheonList!$B$18:$B$139)</f>
        <v>Art</v>
      </c>
      <c r="M45" s="146" t="str">
        <f>LOOKUP($K45,PantheonList!$A$18:$A$139,PantheonList!$C$18:$C$139)</f>
        <v>Control</v>
      </c>
      <c r="N45" s="146" t="str">
        <f>LOOKUP($K45,PantheonList!$A$18:$A$139,PantheonList!$D$18:$D$139)</f>
        <v>Craft</v>
      </c>
      <c r="O45" s="146" t="str">
        <f>LOOKUP($K45,PantheonList!$A$18:$A$139,PantheonList!$E$18:$E$139)</f>
        <v>Investigation</v>
      </c>
      <c r="P45" s="146" t="str">
        <f>LOOKUP($K45,PantheonList!$A$18:$A$139,PantheonList!$F$18:$F$139)</f>
        <v>Melee</v>
      </c>
      <c r="Q45" s="146" t="str">
        <f>LOOKUP($K45,PantheonList!$A$18:$A$139,PantheonList!$G$18:$G$139)</f>
        <v>Science</v>
      </c>
      <c r="R45" s="146" t="str">
        <f t="shared" si="8"/>
        <v>No</v>
      </c>
      <c r="S45" s="146" t="str">
        <f t="shared" si="8"/>
        <v>No</v>
      </c>
      <c r="T45" s="146" t="str">
        <f t="shared" si="8"/>
        <v>Yes</v>
      </c>
      <c r="U45" s="146" t="str">
        <f t="shared" si="8"/>
        <v>No</v>
      </c>
      <c r="V45" s="146" t="str">
        <f t="shared" si="8"/>
        <v>No</v>
      </c>
      <c r="W45" s="146" t="str">
        <f t="shared" si="8"/>
        <v>No</v>
      </c>
      <c r="X45" s="146" t="str">
        <f t="shared" si="8"/>
        <v>No</v>
      </c>
      <c r="Y45" s="146" t="str">
        <f t="shared" si="8"/>
        <v>Yes</v>
      </c>
      <c r="Z45" s="146" t="str">
        <f t="shared" si="8"/>
        <v>Yes</v>
      </c>
      <c r="AA45" s="146" t="str">
        <f t="shared" si="8"/>
        <v>No</v>
      </c>
      <c r="AB45" s="146" t="str">
        <f t="shared" si="9"/>
        <v>No</v>
      </c>
      <c r="AC45" s="146" t="str">
        <f t="shared" si="9"/>
        <v>No</v>
      </c>
      <c r="AD45" s="146" t="str">
        <f t="shared" si="9"/>
        <v>Yes</v>
      </c>
      <c r="AE45" s="146" t="str">
        <f t="shared" si="9"/>
        <v>No</v>
      </c>
      <c r="AF45" s="146" t="str">
        <f t="shared" si="9"/>
        <v>No</v>
      </c>
      <c r="AG45" s="146" t="str">
        <f t="shared" si="9"/>
        <v>No</v>
      </c>
      <c r="AH45" s="146" t="str">
        <f t="shared" si="9"/>
        <v>Yes</v>
      </c>
      <c r="AI45" s="146" t="str">
        <f t="shared" si="9"/>
        <v>No</v>
      </c>
      <c r="AJ45" s="146" t="str">
        <f t="shared" si="9"/>
        <v>No</v>
      </c>
      <c r="AK45" s="146" t="str">
        <f t="shared" si="9"/>
        <v>No</v>
      </c>
      <c r="AL45" s="146" t="str">
        <f t="shared" si="9"/>
        <v>Yes</v>
      </c>
      <c r="AM45" s="146" t="str">
        <f t="shared" si="9"/>
        <v>No</v>
      </c>
      <c r="AN45" s="146" t="str">
        <f t="shared" si="9"/>
        <v>No</v>
      </c>
      <c r="AO45" s="149" t="str">
        <f t="shared" si="9"/>
        <v>No</v>
      </c>
      <c r="AP45" s="181" t="s">
        <v>269</v>
      </c>
      <c r="AQ45" s="146">
        <v>45</v>
      </c>
      <c r="AR45" s="146" t="s">
        <v>361</v>
      </c>
      <c r="AS45" s="146" t="s">
        <v>360</v>
      </c>
      <c r="AT45" s="146" t="s">
        <v>361</v>
      </c>
      <c r="AU45" s="146" t="s">
        <v>361</v>
      </c>
      <c r="AV45" s="146" t="s">
        <v>361</v>
      </c>
      <c r="AW45" s="146" t="s">
        <v>361</v>
      </c>
      <c r="AX45" s="146" t="s">
        <v>361</v>
      </c>
      <c r="AY45" s="146" t="s">
        <v>361</v>
      </c>
      <c r="AZ45" s="146" t="s">
        <v>360</v>
      </c>
      <c r="BA45" s="146" t="s">
        <v>361</v>
      </c>
      <c r="BB45" s="146" t="s">
        <v>361</v>
      </c>
      <c r="BC45" s="146" t="s">
        <v>360</v>
      </c>
      <c r="BD45" s="146" t="s">
        <v>361</v>
      </c>
      <c r="BE45" s="146" t="s">
        <v>361</v>
      </c>
      <c r="BF45" s="146" t="s">
        <v>361</v>
      </c>
      <c r="BG45" s="146" t="s">
        <v>361</v>
      </c>
      <c r="BH45" s="146" t="s">
        <v>361</v>
      </c>
      <c r="BI45" s="146" t="s">
        <v>361</v>
      </c>
      <c r="BJ45" s="146" t="s">
        <v>361</v>
      </c>
      <c r="BK45" s="146" t="s">
        <v>361</v>
      </c>
      <c r="BL45" s="146" t="s">
        <v>361</v>
      </c>
      <c r="BM45" s="146" t="s">
        <v>361</v>
      </c>
      <c r="BN45" s="146" t="s">
        <v>361</v>
      </c>
      <c r="BO45" s="146" t="s">
        <v>361</v>
      </c>
      <c r="BP45" s="146" t="s">
        <v>361</v>
      </c>
      <c r="BQ45" s="146" t="s">
        <v>361</v>
      </c>
      <c r="BR45" s="146" t="s">
        <v>361</v>
      </c>
      <c r="BS45" s="146" t="s">
        <v>361</v>
      </c>
      <c r="BT45" s="146" t="s">
        <v>361</v>
      </c>
      <c r="BU45" s="146" t="s">
        <v>361</v>
      </c>
      <c r="BV45" s="146" t="s">
        <v>361</v>
      </c>
      <c r="BW45" s="146" t="s">
        <v>361</v>
      </c>
      <c r="BX45" s="146" t="s">
        <v>361</v>
      </c>
      <c r="BY45" s="146" t="s">
        <v>361</v>
      </c>
      <c r="BZ45" s="149" t="s">
        <v>361</v>
      </c>
    </row>
    <row r="46" spans="1:78" s="2" customFormat="1" x14ac:dyDescent="0.25">
      <c r="A46" s="181" t="s">
        <v>270</v>
      </c>
      <c r="B46" s="146" t="s">
        <v>361</v>
      </c>
      <c r="C46" s="146" t="s">
        <v>361</v>
      </c>
      <c r="D46" s="146" t="s">
        <v>361</v>
      </c>
      <c r="E46" s="146" t="s">
        <v>360</v>
      </c>
      <c r="F46" s="146" t="s">
        <v>360</v>
      </c>
      <c r="G46" s="146" t="s">
        <v>361</v>
      </c>
      <c r="H46" s="146" t="s">
        <v>361</v>
      </c>
      <c r="I46" s="146" t="s">
        <v>361</v>
      </c>
      <c r="J46" s="149" t="s">
        <v>361</v>
      </c>
      <c r="K46" s="181" t="s">
        <v>270</v>
      </c>
      <c r="L46" s="146" t="str">
        <f>LOOKUP($K46,PantheonList!$A$18:$A$139,PantheonList!$B$18:$B$139)</f>
        <v>Academics</v>
      </c>
      <c r="M46" s="146" t="str">
        <f>LOOKUP($K46,PantheonList!$A$18:$A$139,PantheonList!$C$18:$C$139)</f>
        <v>Command</v>
      </c>
      <c r="N46" s="146" t="str">
        <f>LOOKUP($K46,PantheonList!$A$18:$A$139,PantheonList!$D$18:$D$139)</f>
        <v>Fortitude</v>
      </c>
      <c r="O46" s="146" t="str">
        <f>LOOKUP($K46,PantheonList!$A$18:$A$139,PantheonList!$E$18:$E$139)</f>
        <v>Investigation</v>
      </c>
      <c r="P46" s="146" t="str">
        <f>LOOKUP($K46,PantheonList!$A$18:$A$139,PantheonList!$F$18:$F$139)</f>
        <v>Politics</v>
      </c>
      <c r="Q46" s="146" t="str">
        <f>LOOKUP($K46,PantheonList!$A$18:$A$139,PantheonList!$G$18:$G$139)</f>
        <v>Presence</v>
      </c>
      <c r="R46" s="146" t="str">
        <f t="shared" si="8"/>
        <v>Yes</v>
      </c>
      <c r="S46" s="146" t="str">
        <f t="shared" si="8"/>
        <v>No</v>
      </c>
      <c r="T46" s="146" t="str">
        <f t="shared" si="8"/>
        <v>No</v>
      </c>
      <c r="U46" s="146" t="str">
        <f t="shared" si="8"/>
        <v>No</v>
      </c>
      <c r="V46" s="146" t="str">
        <f t="shared" si="8"/>
        <v>No</v>
      </c>
      <c r="W46" s="146" t="str">
        <f t="shared" si="8"/>
        <v>No</v>
      </c>
      <c r="X46" s="146" t="str">
        <f t="shared" si="8"/>
        <v>Yes</v>
      </c>
      <c r="Y46" s="146" t="str">
        <f t="shared" si="8"/>
        <v>No</v>
      </c>
      <c r="Z46" s="146" t="str">
        <f t="shared" si="8"/>
        <v>No</v>
      </c>
      <c r="AA46" s="146" t="str">
        <f t="shared" si="8"/>
        <v>No</v>
      </c>
      <c r="AB46" s="146" t="str">
        <f t="shared" si="9"/>
        <v>Yes</v>
      </c>
      <c r="AC46" s="146" t="str">
        <f t="shared" si="9"/>
        <v>No</v>
      </c>
      <c r="AD46" s="146" t="str">
        <f t="shared" si="9"/>
        <v>Yes</v>
      </c>
      <c r="AE46" s="146" t="str">
        <f t="shared" si="9"/>
        <v>No</v>
      </c>
      <c r="AF46" s="146" t="str">
        <f t="shared" si="9"/>
        <v>No</v>
      </c>
      <c r="AG46" s="146" t="str">
        <f t="shared" si="9"/>
        <v>No</v>
      </c>
      <c r="AH46" s="146" t="str">
        <f t="shared" si="9"/>
        <v>No</v>
      </c>
      <c r="AI46" s="146" t="str">
        <f t="shared" si="9"/>
        <v>No</v>
      </c>
      <c r="AJ46" s="146" t="str">
        <f t="shared" si="9"/>
        <v>Yes</v>
      </c>
      <c r="AK46" s="146" t="str">
        <f t="shared" si="9"/>
        <v>Yes</v>
      </c>
      <c r="AL46" s="146" t="str">
        <f t="shared" si="9"/>
        <v>No</v>
      </c>
      <c r="AM46" s="146" t="str">
        <f t="shared" si="9"/>
        <v>No</v>
      </c>
      <c r="AN46" s="146" t="str">
        <f t="shared" si="9"/>
        <v>No</v>
      </c>
      <c r="AO46" s="149" t="str">
        <f t="shared" si="9"/>
        <v>No</v>
      </c>
      <c r="AP46" s="181" t="s">
        <v>270</v>
      </c>
      <c r="AQ46" s="146">
        <v>46</v>
      </c>
      <c r="AR46" s="146" t="s">
        <v>360</v>
      </c>
      <c r="AS46" s="146" t="s">
        <v>360</v>
      </c>
      <c r="AT46" s="146" t="s">
        <v>361</v>
      </c>
      <c r="AU46" s="146" t="s">
        <v>361</v>
      </c>
      <c r="AV46" s="146" t="s">
        <v>361</v>
      </c>
      <c r="AW46" s="146" t="s">
        <v>361</v>
      </c>
      <c r="AX46" s="146" t="s">
        <v>361</v>
      </c>
      <c r="AY46" s="146" t="s">
        <v>361</v>
      </c>
      <c r="AZ46" s="146" t="s">
        <v>361</v>
      </c>
      <c r="BA46" s="146" t="s">
        <v>361</v>
      </c>
      <c r="BB46" s="146" t="s">
        <v>361</v>
      </c>
      <c r="BC46" s="146" t="s">
        <v>361</v>
      </c>
      <c r="BD46" s="146" t="s">
        <v>361</v>
      </c>
      <c r="BE46" s="146" t="s">
        <v>361</v>
      </c>
      <c r="BF46" s="146" t="s">
        <v>360</v>
      </c>
      <c r="BG46" s="146" t="s">
        <v>361</v>
      </c>
      <c r="BH46" s="146" t="s">
        <v>361</v>
      </c>
      <c r="BI46" s="146" t="s">
        <v>361</v>
      </c>
      <c r="BJ46" s="146" t="s">
        <v>361</v>
      </c>
      <c r="BK46" s="146" t="s">
        <v>361</v>
      </c>
      <c r="BL46" s="146" t="s">
        <v>361</v>
      </c>
      <c r="BM46" s="146" t="s">
        <v>360</v>
      </c>
      <c r="BN46" s="146" t="s">
        <v>361</v>
      </c>
      <c r="BO46" s="146" t="s">
        <v>361</v>
      </c>
      <c r="BP46" s="146" t="s">
        <v>361</v>
      </c>
      <c r="BQ46" s="146" t="s">
        <v>361</v>
      </c>
      <c r="BR46" s="146" t="s">
        <v>361</v>
      </c>
      <c r="BS46" s="146" t="s">
        <v>361</v>
      </c>
      <c r="BT46" s="146" t="s">
        <v>361</v>
      </c>
      <c r="BU46" s="146" t="s">
        <v>361</v>
      </c>
      <c r="BV46" s="146" t="s">
        <v>361</v>
      </c>
      <c r="BW46" s="146" t="s">
        <v>361</v>
      </c>
      <c r="BX46" s="146" t="s">
        <v>361</v>
      </c>
      <c r="BY46" s="146" t="s">
        <v>361</v>
      </c>
      <c r="BZ46" s="149" t="s">
        <v>361</v>
      </c>
    </row>
    <row r="47" spans="1:78" s="2" customFormat="1" x14ac:dyDescent="0.25">
      <c r="A47" s="181" t="s">
        <v>271</v>
      </c>
      <c r="B47" s="146" t="s">
        <v>361</v>
      </c>
      <c r="C47" s="146" t="s">
        <v>360</v>
      </c>
      <c r="D47" s="146" t="s">
        <v>361</v>
      </c>
      <c r="E47" s="146" t="s">
        <v>361</v>
      </c>
      <c r="F47" s="146" t="s">
        <v>361</v>
      </c>
      <c r="G47" s="146" t="s">
        <v>361</v>
      </c>
      <c r="H47" s="146" t="s">
        <v>361</v>
      </c>
      <c r="I47" s="146" t="s">
        <v>360</v>
      </c>
      <c r="J47" s="149" t="s">
        <v>360</v>
      </c>
      <c r="K47" s="181" t="s">
        <v>271</v>
      </c>
      <c r="L47" s="146" t="str">
        <f>LOOKUP($K47,PantheonList!$A$18:$A$139,PantheonList!$B$18:$B$139)</f>
        <v>Athletics</v>
      </c>
      <c r="M47" s="146" t="str">
        <f>LOOKUP($K47,PantheonList!$A$18:$A$139,PantheonList!$C$18:$C$139)</f>
        <v>Awareness</v>
      </c>
      <c r="N47" s="146" t="str">
        <f>LOOKUP($K47,PantheonList!$A$18:$A$139,PantheonList!$D$18:$D$139)</f>
        <v>Larceny</v>
      </c>
      <c r="O47" s="146" t="str">
        <f>LOOKUP($K47,PantheonList!$A$18:$A$139,PantheonList!$E$18:$E$139)</f>
        <v>Occult</v>
      </c>
      <c r="P47" s="146" t="str">
        <f>LOOKUP($K47,PantheonList!$A$18:$A$139,PantheonList!$F$18:$F$139)</f>
        <v>Stealth</v>
      </c>
      <c r="Q47" s="146" t="str">
        <f>LOOKUP($K47,PantheonList!$A$18:$A$139,PantheonList!$G$18:$G$139)</f>
        <v>Survival</v>
      </c>
      <c r="R47" s="146" t="str">
        <f t="shared" si="8"/>
        <v>No</v>
      </c>
      <c r="S47" s="146" t="str">
        <f t="shared" si="8"/>
        <v>No</v>
      </c>
      <c r="T47" s="146" t="str">
        <f t="shared" si="8"/>
        <v>No</v>
      </c>
      <c r="U47" s="146" t="str">
        <f t="shared" si="8"/>
        <v>Yes</v>
      </c>
      <c r="V47" s="146" t="str">
        <f t="shared" si="8"/>
        <v>Yes</v>
      </c>
      <c r="W47" s="146" t="str">
        <f t="shared" si="8"/>
        <v>No</v>
      </c>
      <c r="X47" s="146" t="str">
        <f t="shared" si="8"/>
        <v>No</v>
      </c>
      <c r="Y47" s="146" t="str">
        <f t="shared" si="8"/>
        <v>No</v>
      </c>
      <c r="Z47" s="146" t="str">
        <f t="shared" si="8"/>
        <v>No</v>
      </c>
      <c r="AA47" s="146" t="str">
        <f t="shared" si="8"/>
        <v>No</v>
      </c>
      <c r="AB47" s="146" t="str">
        <f t="shared" si="9"/>
        <v>No</v>
      </c>
      <c r="AC47" s="146" t="str">
        <f t="shared" si="9"/>
        <v>No</v>
      </c>
      <c r="AD47" s="146" t="str">
        <f t="shared" si="9"/>
        <v>No</v>
      </c>
      <c r="AE47" s="146" t="str">
        <f t="shared" si="9"/>
        <v>Yes</v>
      </c>
      <c r="AF47" s="146" t="str">
        <f t="shared" si="9"/>
        <v>No</v>
      </c>
      <c r="AG47" s="146" t="str">
        <f t="shared" si="9"/>
        <v>No</v>
      </c>
      <c r="AH47" s="146" t="str">
        <f t="shared" si="9"/>
        <v>No</v>
      </c>
      <c r="AI47" s="146" t="str">
        <f t="shared" si="9"/>
        <v>Yes</v>
      </c>
      <c r="AJ47" s="146" t="str">
        <f t="shared" si="9"/>
        <v>No</v>
      </c>
      <c r="AK47" s="146" t="str">
        <f t="shared" si="9"/>
        <v>No</v>
      </c>
      <c r="AL47" s="146" t="str">
        <f t="shared" si="9"/>
        <v>No</v>
      </c>
      <c r="AM47" s="146" t="str">
        <f t="shared" si="9"/>
        <v>Yes</v>
      </c>
      <c r="AN47" s="146" t="str">
        <f t="shared" si="9"/>
        <v>Yes</v>
      </c>
      <c r="AO47" s="149" t="str">
        <f t="shared" si="9"/>
        <v>No</v>
      </c>
      <c r="AP47" s="181" t="s">
        <v>271</v>
      </c>
      <c r="AQ47" s="146">
        <v>47</v>
      </c>
      <c r="AR47" s="146" t="s">
        <v>361</v>
      </c>
      <c r="AS47" s="146" t="s">
        <v>360</v>
      </c>
      <c r="AT47" s="146" t="s">
        <v>361</v>
      </c>
      <c r="AU47" s="146" t="s">
        <v>361</v>
      </c>
      <c r="AV47" s="146" t="s">
        <v>361</v>
      </c>
      <c r="AW47" s="146" t="s">
        <v>361</v>
      </c>
      <c r="AX47" s="146" t="s">
        <v>361</v>
      </c>
      <c r="AY47" s="146" t="s">
        <v>361</v>
      </c>
      <c r="AZ47" s="146" t="s">
        <v>361</v>
      </c>
      <c r="BA47" s="146" t="s">
        <v>361</v>
      </c>
      <c r="BB47" s="146" t="s">
        <v>361</v>
      </c>
      <c r="BC47" s="146" t="s">
        <v>361</v>
      </c>
      <c r="BD47" s="146" t="s">
        <v>361</v>
      </c>
      <c r="BE47" s="146" t="s">
        <v>361</v>
      </c>
      <c r="BF47" s="146" t="s">
        <v>361</v>
      </c>
      <c r="BG47" s="146" t="s">
        <v>361</v>
      </c>
      <c r="BH47" s="146" t="s">
        <v>361</v>
      </c>
      <c r="BI47" s="146" t="s">
        <v>361</v>
      </c>
      <c r="BJ47" s="146" t="s">
        <v>361</v>
      </c>
      <c r="BK47" s="146" t="s">
        <v>361</v>
      </c>
      <c r="BL47" s="146" t="s">
        <v>361</v>
      </c>
      <c r="BM47" s="146" t="s">
        <v>360</v>
      </c>
      <c r="BN47" s="146" t="s">
        <v>361</v>
      </c>
      <c r="BO47" s="146" t="s">
        <v>361</v>
      </c>
      <c r="BP47" s="146" t="s">
        <v>361</v>
      </c>
      <c r="BQ47" s="146" t="s">
        <v>360</v>
      </c>
      <c r="BR47" s="146" t="s">
        <v>361</v>
      </c>
      <c r="BS47" s="146" t="s">
        <v>361</v>
      </c>
      <c r="BT47" s="146" t="s">
        <v>361</v>
      </c>
      <c r="BU47" s="146" t="s">
        <v>361</v>
      </c>
      <c r="BV47" s="146" t="s">
        <v>361</v>
      </c>
      <c r="BW47" s="146" t="s">
        <v>361</v>
      </c>
      <c r="BX47" s="146" t="s">
        <v>361</v>
      </c>
      <c r="BY47" s="146" t="s">
        <v>361</v>
      </c>
      <c r="BZ47" s="149" t="s">
        <v>361</v>
      </c>
    </row>
    <row r="48" spans="1:78" s="2" customFormat="1" x14ac:dyDescent="0.25">
      <c r="A48" s="181" t="s">
        <v>288</v>
      </c>
      <c r="B48" s="146" t="s">
        <v>360</v>
      </c>
      <c r="C48" s="146" t="s">
        <v>361</v>
      </c>
      <c r="D48" s="146" t="s">
        <v>361</v>
      </c>
      <c r="E48" s="146" t="s">
        <v>361</v>
      </c>
      <c r="F48" s="146" t="s">
        <v>361</v>
      </c>
      <c r="G48" s="146" t="s">
        <v>361</v>
      </c>
      <c r="H48" s="146" t="s">
        <v>361</v>
      </c>
      <c r="I48" s="146" t="s">
        <v>361</v>
      </c>
      <c r="J48" s="149" t="s">
        <v>361</v>
      </c>
      <c r="K48" s="181" t="s">
        <v>288</v>
      </c>
      <c r="L48" s="146" t="str">
        <f>LOOKUP($K48,PantheonList!$A$18:$A$139,PantheonList!$B$18:$B$139)</f>
        <v>Athletics</v>
      </c>
      <c r="M48" s="146" t="str">
        <f>LOOKUP($K48,PantheonList!$A$18:$A$139,PantheonList!$C$18:$C$139)</f>
        <v>Awareness</v>
      </c>
      <c r="N48" s="146" t="str">
        <f>LOOKUP($K48,PantheonList!$A$18:$A$139,PantheonList!$D$18:$D$139)</f>
        <v>Brawl</v>
      </c>
      <c r="O48" s="146" t="str">
        <f>LOOKUP($K48,PantheonList!$A$18:$A$139,PantheonList!$E$18:$E$139)</f>
        <v>Command</v>
      </c>
      <c r="P48" s="146" t="str">
        <f>LOOKUP($K48,PantheonList!$A$18:$A$139,PantheonList!$F$18:$F$139)</f>
        <v>Melee</v>
      </c>
      <c r="Q48" s="146" t="str">
        <f>LOOKUP($K48,PantheonList!$A$18:$A$139,PantheonList!$G$18:$G$139)</f>
        <v>Politics</v>
      </c>
      <c r="R48" s="146" t="str">
        <f t="shared" si="8"/>
        <v>No</v>
      </c>
      <c r="S48" s="146" t="str">
        <f t="shared" si="8"/>
        <v>No</v>
      </c>
      <c r="T48" s="146" t="str">
        <f t="shared" si="8"/>
        <v>No</v>
      </c>
      <c r="U48" s="146" t="str">
        <f t="shared" si="8"/>
        <v>Yes</v>
      </c>
      <c r="V48" s="146" t="str">
        <f t="shared" si="8"/>
        <v>Yes</v>
      </c>
      <c r="W48" s="146" t="str">
        <f t="shared" si="8"/>
        <v>Yes</v>
      </c>
      <c r="X48" s="146" t="str">
        <f t="shared" si="8"/>
        <v>Yes</v>
      </c>
      <c r="Y48" s="146" t="str">
        <f t="shared" si="8"/>
        <v>No</v>
      </c>
      <c r="Z48" s="146" t="str">
        <f t="shared" si="8"/>
        <v>No</v>
      </c>
      <c r="AA48" s="146" t="str">
        <f t="shared" si="8"/>
        <v>No</v>
      </c>
      <c r="AB48" s="146" t="str">
        <f t="shared" si="9"/>
        <v>No</v>
      </c>
      <c r="AC48" s="146" t="str">
        <f t="shared" si="9"/>
        <v>No</v>
      </c>
      <c r="AD48" s="146" t="str">
        <f t="shared" si="9"/>
        <v>No</v>
      </c>
      <c r="AE48" s="146" t="str">
        <f t="shared" si="9"/>
        <v>No</v>
      </c>
      <c r="AF48" s="146" t="str">
        <f t="shared" si="9"/>
        <v>No</v>
      </c>
      <c r="AG48" s="146" t="str">
        <f t="shared" si="9"/>
        <v>No</v>
      </c>
      <c r="AH48" s="146" t="str">
        <f t="shared" si="9"/>
        <v>Yes</v>
      </c>
      <c r="AI48" s="146" t="str">
        <f t="shared" si="9"/>
        <v>No</v>
      </c>
      <c r="AJ48" s="146" t="str">
        <f t="shared" si="9"/>
        <v>Yes</v>
      </c>
      <c r="AK48" s="146" t="str">
        <f t="shared" si="9"/>
        <v>No</v>
      </c>
      <c r="AL48" s="146" t="str">
        <f t="shared" si="9"/>
        <v>No</v>
      </c>
      <c r="AM48" s="146" t="str">
        <f t="shared" si="9"/>
        <v>No</v>
      </c>
      <c r="AN48" s="146" t="str">
        <f t="shared" si="9"/>
        <v>No</v>
      </c>
      <c r="AO48" s="149" t="str">
        <f t="shared" si="9"/>
        <v>No</v>
      </c>
      <c r="AP48" s="181" t="s">
        <v>288</v>
      </c>
      <c r="AQ48" s="146">
        <v>48</v>
      </c>
      <c r="AR48" s="146" t="s">
        <v>360</v>
      </c>
      <c r="AS48" s="146" t="s">
        <v>361</v>
      </c>
      <c r="AT48" s="146" t="s">
        <v>361</v>
      </c>
      <c r="AU48" s="146" t="s">
        <v>361</v>
      </c>
      <c r="AV48" s="146" t="s">
        <v>361</v>
      </c>
      <c r="AW48" s="146" t="s">
        <v>361</v>
      </c>
      <c r="AX48" s="146" t="s">
        <v>361</v>
      </c>
      <c r="AY48" s="146" t="s">
        <v>361</v>
      </c>
      <c r="AZ48" s="146" t="s">
        <v>361</v>
      </c>
      <c r="BA48" s="146" t="s">
        <v>361</v>
      </c>
      <c r="BB48" s="146" t="s">
        <v>361</v>
      </c>
      <c r="BC48" s="146" t="s">
        <v>361</v>
      </c>
      <c r="BD48" s="146" t="s">
        <v>361</v>
      </c>
      <c r="BE48" s="146" t="s">
        <v>361</v>
      </c>
      <c r="BF48" s="146" t="s">
        <v>361</v>
      </c>
      <c r="BG48" s="146" t="s">
        <v>360</v>
      </c>
      <c r="BH48" s="146" t="s">
        <v>361</v>
      </c>
      <c r="BI48" s="146" t="s">
        <v>361</v>
      </c>
      <c r="BJ48" s="146" t="s">
        <v>361</v>
      </c>
      <c r="BK48" s="146" t="s">
        <v>361</v>
      </c>
      <c r="BL48" s="146" t="s">
        <v>360</v>
      </c>
      <c r="BM48" s="146" t="s">
        <v>361</v>
      </c>
      <c r="BN48" s="146" t="s">
        <v>360</v>
      </c>
      <c r="BO48" s="146" t="s">
        <v>361</v>
      </c>
      <c r="BP48" s="146" t="s">
        <v>361</v>
      </c>
      <c r="BQ48" s="146" t="s">
        <v>361</v>
      </c>
      <c r="BR48" s="146" t="s">
        <v>361</v>
      </c>
      <c r="BS48" s="146" t="s">
        <v>361</v>
      </c>
      <c r="BT48" s="146" t="s">
        <v>360</v>
      </c>
      <c r="BU48" s="146" t="s">
        <v>361</v>
      </c>
      <c r="BV48" s="146" t="s">
        <v>360</v>
      </c>
      <c r="BW48" s="146" t="s">
        <v>361</v>
      </c>
      <c r="BX48" s="146" t="s">
        <v>361</v>
      </c>
      <c r="BY48" s="146" t="s">
        <v>361</v>
      </c>
      <c r="BZ48" s="149" t="s">
        <v>361</v>
      </c>
    </row>
    <row r="49" spans="1:78" s="2" customFormat="1" x14ac:dyDescent="0.25">
      <c r="A49" s="181" t="s">
        <v>240</v>
      </c>
      <c r="B49" s="146" t="s">
        <v>360</v>
      </c>
      <c r="C49" s="146" t="s">
        <v>360</v>
      </c>
      <c r="D49" s="146" t="s">
        <v>360</v>
      </c>
      <c r="E49" s="146" t="s">
        <v>361</v>
      </c>
      <c r="F49" s="146" t="s">
        <v>361</v>
      </c>
      <c r="G49" s="146" t="s">
        <v>361</v>
      </c>
      <c r="H49" s="146" t="s">
        <v>361</v>
      </c>
      <c r="I49" s="146" t="s">
        <v>361</v>
      </c>
      <c r="J49" s="149" t="s">
        <v>361</v>
      </c>
      <c r="K49" s="181" t="s">
        <v>240</v>
      </c>
      <c r="L49" s="146" t="str">
        <f>LOOKUP($K49,PantheonList!$A$18:$A$139,PantheonList!$B$18:$B$139)</f>
        <v>Athletics</v>
      </c>
      <c r="M49" s="146" t="str">
        <f>LOOKUP($K49,PantheonList!$A$18:$A$139,PantheonList!$C$18:$C$139)</f>
        <v>Command</v>
      </c>
      <c r="N49" s="146" t="str">
        <f>LOOKUP($K49,PantheonList!$A$18:$A$139,PantheonList!$D$18:$D$139)</f>
        <v>Craft</v>
      </c>
      <c r="O49" s="146" t="str">
        <f>LOOKUP($K49,PantheonList!$A$18:$A$139,PantheonList!$E$18:$E$139)</f>
        <v>Marksmanship</v>
      </c>
      <c r="P49" s="146" t="str">
        <f>LOOKUP($K49,PantheonList!$A$18:$A$139,PantheonList!$F$18:$F$139)</f>
        <v>Stealth</v>
      </c>
      <c r="Q49" s="146" t="str">
        <f>LOOKUP($K49,PantheonList!$A$18:$A$139,PantheonList!$G$18:$G$139)</f>
        <v>Survival</v>
      </c>
      <c r="R49" s="146" t="str">
        <f t="shared" si="8"/>
        <v>No</v>
      </c>
      <c r="S49" s="146" t="str">
        <f t="shared" si="8"/>
        <v>No</v>
      </c>
      <c r="T49" s="146" t="str">
        <f t="shared" si="8"/>
        <v>No</v>
      </c>
      <c r="U49" s="146" t="str">
        <f t="shared" si="8"/>
        <v>Yes</v>
      </c>
      <c r="V49" s="146" t="str">
        <f t="shared" si="8"/>
        <v>No</v>
      </c>
      <c r="W49" s="146" t="str">
        <f t="shared" si="8"/>
        <v>No</v>
      </c>
      <c r="X49" s="146" t="str">
        <f t="shared" si="8"/>
        <v>Yes</v>
      </c>
      <c r="Y49" s="146" t="str">
        <f t="shared" si="8"/>
        <v>No</v>
      </c>
      <c r="Z49" s="146" t="str">
        <f t="shared" si="8"/>
        <v>Yes</v>
      </c>
      <c r="AA49" s="146" t="str">
        <f t="shared" si="8"/>
        <v>No</v>
      </c>
      <c r="AB49" s="146" t="str">
        <f t="shared" si="9"/>
        <v>No</v>
      </c>
      <c r="AC49" s="146" t="str">
        <f t="shared" si="9"/>
        <v>No</v>
      </c>
      <c r="AD49" s="146" t="str">
        <f t="shared" si="9"/>
        <v>No</v>
      </c>
      <c r="AE49" s="146" t="str">
        <f t="shared" si="9"/>
        <v>No</v>
      </c>
      <c r="AF49" s="146" t="str">
        <f t="shared" si="9"/>
        <v>Yes</v>
      </c>
      <c r="AG49" s="146" t="str">
        <f t="shared" si="9"/>
        <v>No</v>
      </c>
      <c r="AH49" s="146" t="str">
        <f t="shared" si="9"/>
        <v>No</v>
      </c>
      <c r="AI49" s="146" t="str">
        <f t="shared" si="9"/>
        <v>No</v>
      </c>
      <c r="AJ49" s="146" t="str">
        <f t="shared" si="9"/>
        <v>No</v>
      </c>
      <c r="AK49" s="146" t="str">
        <f t="shared" si="9"/>
        <v>No</v>
      </c>
      <c r="AL49" s="146" t="str">
        <f t="shared" si="9"/>
        <v>No</v>
      </c>
      <c r="AM49" s="146" t="str">
        <f t="shared" si="9"/>
        <v>Yes</v>
      </c>
      <c r="AN49" s="146" t="str">
        <f t="shared" si="9"/>
        <v>Yes</v>
      </c>
      <c r="AO49" s="149" t="str">
        <f t="shared" si="9"/>
        <v>No</v>
      </c>
      <c r="AP49" s="181" t="s">
        <v>240</v>
      </c>
      <c r="AQ49" s="146">
        <v>49</v>
      </c>
      <c r="AR49" s="146" t="s">
        <v>361</v>
      </c>
      <c r="AS49" s="146" t="s">
        <v>361</v>
      </c>
      <c r="AT49" s="146" t="s">
        <v>361</v>
      </c>
      <c r="AU49" s="146" t="s">
        <v>361</v>
      </c>
      <c r="AV49" s="146" t="s">
        <v>361</v>
      </c>
      <c r="AW49" s="146" t="s">
        <v>361</v>
      </c>
      <c r="AX49" s="146" t="s">
        <v>361</v>
      </c>
      <c r="AY49" s="146" t="s">
        <v>361</v>
      </c>
      <c r="AZ49" s="146" t="s">
        <v>361</v>
      </c>
      <c r="BA49" s="146" t="s">
        <v>361</v>
      </c>
      <c r="BB49" s="146" t="s">
        <v>361</v>
      </c>
      <c r="BC49" s="146" t="s">
        <v>361</v>
      </c>
      <c r="BD49" s="146" t="s">
        <v>361</v>
      </c>
      <c r="BE49" s="146" t="s">
        <v>361</v>
      </c>
      <c r="BF49" s="146" t="s">
        <v>361</v>
      </c>
      <c r="BG49" s="146" t="s">
        <v>361</v>
      </c>
      <c r="BH49" s="146" t="s">
        <v>361</v>
      </c>
      <c r="BI49" s="146" t="s">
        <v>361</v>
      </c>
      <c r="BJ49" s="146" t="s">
        <v>361</v>
      </c>
      <c r="BK49" s="146" t="s">
        <v>361</v>
      </c>
      <c r="BL49" s="146" t="s">
        <v>361</v>
      </c>
      <c r="BM49" s="146" t="s">
        <v>361</v>
      </c>
      <c r="BN49" s="146" t="s">
        <v>361</v>
      </c>
      <c r="BO49" s="146" t="s">
        <v>361</v>
      </c>
      <c r="BP49" s="146" t="s">
        <v>361</v>
      </c>
      <c r="BQ49" s="146" t="s">
        <v>361</v>
      </c>
      <c r="BR49" s="146" t="s">
        <v>361</v>
      </c>
      <c r="BS49" s="146" t="s">
        <v>361</v>
      </c>
      <c r="BT49" s="146" t="s">
        <v>361</v>
      </c>
      <c r="BU49" s="146" t="s">
        <v>361</v>
      </c>
      <c r="BV49" s="146" t="s">
        <v>360</v>
      </c>
      <c r="BW49" s="146" t="s">
        <v>360</v>
      </c>
      <c r="BX49" s="146" t="s">
        <v>361</v>
      </c>
      <c r="BY49" s="146" t="s">
        <v>361</v>
      </c>
      <c r="BZ49" s="149" t="s">
        <v>361</v>
      </c>
    </row>
    <row r="50" spans="1:78" s="2" customFormat="1" x14ac:dyDescent="0.25">
      <c r="A50" s="181" t="s">
        <v>241</v>
      </c>
      <c r="B50" s="146" t="s">
        <v>361</v>
      </c>
      <c r="C50" s="146" t="s">
        <v>361</v>
      </c>
      <c r="D50" s="146" t="s">
        <v>360</v>
      </c>
      <c r="E50" s="146" t="s">
        <v>361</v>
      </c>
      <c r="F50" s="146" t="s">
        <v>360</v>
      </c>
      <c r="G50" s="146" t="s">
        <v>361</v>
      </c>
      <c r="H50" s="146" t="s">
        <v>361</v>
      </c>
      <c r="I50" s="146" t="s">
        <v>360</v>
      </c>
      <c r="J50" s="149" t="s">
        <v>361</v>
      </c>
      <c r="K50" s="181" t="s">
        <v>241</v>
      </c>
      <c r="L50" s="146" t="str">
        <f>LOOKUP($K50,PantheonList!$A$18:$A$139,PantheonList!$B$18:$B$139)</f>
        <v>Academics</v>
      </c>
      <c r="M50" s="146" t="str">
        <f>LOOKUP($K50,PantheonList!$A$18:$A$139,PantheonList!$C$18:$C$139)</f>
        <v>Awareness</v>
      </c>
      <c r="N50" s="146" t="str">
        <f>LOOKUP($K50,PantheonList!$A$18:$A$139,PantheonList!$D$18:$D$139)</f>
        <v>Command</v>
      </c>
      <c r="O50" s="146" t="str">
        <f>LOOKUP($K50,PantheonList!$A$18:$A$139,PantheonList!$E$18:$E$139)</f>
        <v>Integrity</v>
      </c>
      <c r="P50" s="146" t="str">
        <f>LOOKUP($K50,PantheonList!$A$18:$A$139,PantheonList!$F$18:$F$139)</f>
        <v>Melee</v>
      </c>
      <c r="Q50" s="146" t="str">
        <f>LOOKUP($K50,PantheonList!$A$18:$A$139,PantheonList!$G$18:$G$139)</f>
        <v>Politics</v>
      </c>
      <c r="R50" s="146" t="str">
        <f t="shared" si="8"/>
        <v>Yes</v>
      </c>
      <c r="S50" s="146" t="str">
        <f t="shared" si="8"/>
        <v>No</v>
      </c>
      <c r="T50" s="146" t="str">
        <f t="shared" si="8"/>
        <v>No</v>
      </c>
      <c r="U50" s="146" t="str">
        <f t="shared" si="8"/>
        <v>No</v>
      </c>
      <c r="V50" s="146" t="str">
        <f t="shared" si="8"/>
        <v>Yes</v>
      </c>
      <c r="W50" s="146" t="str">
        <f t="shared" si="8"/>
        <v>No</v>
      </c>
      <c r="X50" s="146" t="str">
        <f t="shared" si="8"/>
        <v>Yes</v>
      </c>
      <c r="Y50" s="146" t="str">
        <f t="shared" si="8"/>
        <v>No</v>
      </c>
      <c r="Z50" s="146" t="str">
        <f t="shared" si="8"/>
        <v>No</v>
      </c>
      <c r="AA50" s="146" t="str">
        <f t="shared" si="8"/>
        <v>No</v>
      </c>
      <c r="AB50" s="146" t="str">
        <f t="shared" si="9"/>
        <v>No</v>
      </c>
      <c r="AC50" s="146" t="str">
        <f t="shared" si="9"/>
        <v>Yes</v>
      </c>
      <c r="AD50" s="146" t="str">
        <f t="shared" si="9"/>
        <v>No</v>
      </c>
      <c r="AE50" s="146" t="str">
        <f t="shared" si="9"/>
        <v>No</v>
      </c>
      <c r="AF50" s="146" t="str">
        <f t="shared" si="9"/>
        <v>No</v>
      </c>
      <c r="AG50" s="146" t="str">
        <f t="shared" si="9"/>
        <v>No</v>
      </c>
      <c r="AH50" s="146" t="str">
        <f t="shared" si="9"/>
        <v>Yes</v>
      </c>
      <c r="AI50" s="146" t="str">
        <f t="shared" si="9"/>
        <v>No</v>
      </c>
      <c r="AJ50" s="146" t="str">
        <f t="shared" si="9"/>
        <v>Yes</v>
      </c>
      <c r="AK50" s="146" t="str">
        <f t="shared" si="9"/>
        <v>No</v>
      </c>
      <c r="AL50" s="146" t="str">
        <f t="shared" si="9"/>
        <v>No</v>
      </c>
      <c r="AM50" s="146" t="str">
        <f t="shared" si="9"/>
        <v>No</v>
      </c>
      <c r="AN50" s="146" t="str">
        <f t="shared" si="9"/>
        <v>No</v>
      </c>
      <c r="AO50" s="149" t="str">
        <f t="shared" si="9"/>
        <v>No</v>
      </c>
      <c r="AP50" s="181" t="s">
        <v>241</v>
      </c>
      <c r="AQ50" s="146">
        <v>50</v>
      </c>
      <c r="AR50" s="146" t="s">
        <v>361</v>
      </c>
      <c r="AS50" s="146" t="s">
        <v>361</v>
      </c>
      <c r="AT50" s="146" t="s">
        <v>361</v>
      </c>
      <c r="AU50" s="146" t="s">
        <v>361</v>
      </c>
      <c r="AV50" s="146" t="s">
        <v>361</v>
      </c>
      <c r="AW50" s="146" t="s">
        <v>361</v>
      </c>
      <c r="AX50" s="146" t="s">
        <v>361</v>
      </c>
      <c r="AY50" s="146" t="s">
        <v>361</v>
      </c>
      <c r="AZ50" s="146" t="s">
        <v>360</v>
      </c>
      <c r="BA50" s="146" t="s">
        <v>361</v>
      </c>
      <c r="BB50" s="146" t="s">
        <v>361</v>
      </c>
      <c r="BC50" s="146" t="s">
        <v>361</v>
      </c>
      <c r="BD50" s="146" t="s">
        <v>361</v>
      </c>
      <c r="BE50" s="146" t="s">
        <v>360</v>
      </c>
      <c r="BF50" s="146" t="s">
        <v>361</v>
      </c>
      <c r="BG50" s="146" t="s">
        <v>361</v>
      </c>
      <c r="BH50" s="146" t="s">
        <v>361</v>
      </c>
      <c r="BI50" s="146" t="s">
        <v>361</v>
      </c>
      <c r="BJ50" s="146" t="s">
        <v>361</v>
      </c>
      <c r="BK50" s="146" t="s">
        <v>361</v>
      </c>
      <c r="BL50" s="146" t="s">
        <v>361</v>
      </c>
      <c r="BM50" s="146" t="s">
        <v>361</v>
      </c>
      <c r="BN50" s="146" t="s">
        <v>361</v>
      </c>
      <c r="BO50" s="146" t="s">
        <v>360</v>
      </c>
      <c r="BP50" s="146" t="s">
        <v>361</v>
      </c>
      <c r="BQ50" s="146" t="s">
        <v>361</v>
      </c>
      <c r="BR50" s="146" t="s">
        <v>361</v>
      </c>
      <c r="BS50" s="146" t="s">
        <v>361</v>
      </c>
      <c r="BT50" s="146" t="s">
        <v>361</v>
      </c>
      <c r="BU50" s="146" t="s">
        <v>361</v>
      </c>
      <c r="BV50" s="146" t="s">
        <v>361</v>
      </c>
      <c r="BW50" s="146" t="s">
        <v>360</v>
      </c>
      <c r="BX50" s="146" t="s">
        <v>361</v>
      </c>
      <c r="BY50" s="146" t="s">
        <v>360</v>
      </c>
      <c r="BZ50" s="149" t="s">
        <v>361</v>
      </c>
    </row>
    <row r="51" spans="1:78" s="2" customFormat="1" x14ac:dyDescent="0.25">
      <c r="A51" s="181" t="s">
        <v>228</v>
      </c>
      <c r="B51" s="146" t="s">
        <v>360</v>
      </c>
      <c r="C51" s="146" t="s">
        <v>361</v>
      </c>
      <c r="D51" s="146" t="s">
        <v>360</v>
      </c>
      <c r="E51" s="146" t="s">
        <v>360</v>
      </c>
      <c r="F51" s="146" t="s">
        <v>361</v>
      </c>
      <c r="G51" s="146" t="s">
        <v>361</v>
      </c>
      <c r="H51" s="146" t="s">
        <v>361</v>
      </c>
      <c r="I51" s="146" t="s">
        <v>361</v>
      </c>
      <c r="J51" s="149" t="s">
        <v>361</v>
      </c>
      <c r="K51" s="181" t="s">
        <v>228</v>
      </c>
      <c r="L51" s="146" t="str">
        <f>LOOKUP($K51,PantheonList!$A$18:$A$139,PantheonList!$B$18:$B$139)</f>
        <v>Athletics</v>
      </c>
      <c r="M51" s="146" t="str">
        <f>LOOKUP($K51,PantheonList!$A$18:$A$139,PantheonList!$C$18:$C$139)</f>
        <v>Awareness</v>
      </c>
      <c r="N51" s="146" t="str">
        <f>LOOKUP($K51,PantheonList!$A$18:$A$139,PantheonList!$D$18:$D$139)</f>
        <v>Brawl</v>
      </c>
      <c r="O51" s="146" t="str">
        <f>LOOKUP($K51,PantheonList!$A$18:$A$139,PantheonList!$E$18:$E$139)</f>
        <v>Marksmanship</v>
      </c>
      <c r="P51" s="146" t="str">
        <f>LOOKUP($K51,PantheonList!$A$18:$A$139,PantheonList!$F$18:$F$139)</f>
        <v>Melee</v>
      </c>
      <c r="Q51" s="146" t="str">
        <f>LOOKUP($K51,PantheonList!$A$18:$A$139,PantheonList!$G$18:$G$139)</f>
        <v>Thrown</v>
      </c>
      <c r="R51" s="146" t="str">
        <f t="shared" si="8"/>
        <v>No</v>
      </c>
      <c r="S51" s="146" t="str">
        <f t="shared" si="8"/>
        <v>No</v>
      </c>
      <c r="T51" s="146" t="str">
        <f t="shared" si="8"/>
        <v>No</v>
      </c>
      <c r="U51" s="146" t="str">
        <f t="shared" si="8"/>
        <v>Yes</v>
      </c>
      <c r="V51" s="146" t="str">
        <f t="shared" si="8"/>
        <v>Yes</v>
      </c>
      <c r="W51" s="146" t="str">
        <f t="shared" si="8"/>
        <v>Yes</v>
      </c>
      <c r="X51" s="146" t="str">
        <f t="shared" si="8"/>
        <v>No</v>
      </c>
      <c r="Y51" s="146" t="str">
        <f t="shared" si="8"/>
        <v>No</v>
      </c>
      <c r="Z51" s="146" t="str">
        <f t="shared" si="8"/>
        <v>No</v>
      </c>
      <c r="AA51" s="146" t="str">
        <f t="shared" si="8"/>
        <v>No</v>
      </c>
      <c r="AB51" s="146" t="str">
        <f t="shared" si="9"/>
        <v>No</v>
      </c>
      <c r="AC51" s="146" t="str">
        <f t="shared" si="9"/>
        <v>No</v>
      </c>
      <c r="AD51" s="146" t="str">
        <f t="shared" si="9"/>
        <v>No</v>
      </c>
      <c r="AE51" s="146" t="str">
        <f t="shared" si="9"/>
        <v>No</v>
      </c>
      <c r="AF51" s="146" t="str">
        <f t="shared" si="9"/>
        <v>Yes</v>
      </c>
      <c r="AG51" s="146" t="str">
        <f t="shared" si="9"/>
        <v>No</v>
      </c>
      <c r="AH51" s="146" t="str">
        <f t="shared" si="9"/>
        <v>Yes</v>
      </c>
      <c r="AI51" s="146" t="str">
        <f t="shared" si="9"/>
        <v>No</v>
      </c>
      <c r="AJ51" s="146" t="str">
        <f t="shared" si="9"/>
        <v>No</v>
      </c>
      <c r="AK51" s="146" t="str">
        <f t="shared" si="9"/>
        <v>No</v>
      </c>
      <c r="AL51" s="146" t="str">
        <f t="shared" si="9"/>
        <v>No</v>
      </c>
      <c r="AM51" s="146" t="str">
        <f t="shared" si="9"/>
        <v>No</v>
      </c>
      <c r="AN51" s="146" t="str">
        <f t="shared" si="9"/>
        <v>No</v>
      </c>
      <c r="AO51" s="149" t="str">
        <f t="shared" si="9"/>
        <v>Yes</v>
      </c>
      <c r="AP51" s="181" t="s">
        <v>228</v>
      </c>
      <c r="AQ51" s="146">
        <v>51</v>
      </c>
      <c r="AR51" s="146" t="s">
        <v>360</v>
      </c>
      <c r="AS51" s="146" t="s">
        <v>361</v>
      </c>
      <c r="AT51" s="146" t="s">
        <v>361</v>
      </c>
      <c r="AU51" s="146" t="s">
        <v>361</v>
      </c>
      <c r="AV51" s="146" t="s">
        <v>361</v>
      </c>
      <c r="AW51" s="146" t="s">
        <v>361</v>
      </c>
      <c r="AX51" s="146" t="s">
        <v>361</v>
      </c>
      <c r="AY51" s="146" t="s">
        <v>360</v>
      </c>
      <c r="AZ51" s="146" t="s">
        <v>361</v>
      </c>
      <c r="BA51" s="146" t="s">
        <v>361</v>
      </c>
      <c r="BB51" s="146" t="s">
        <v>361</v>
      </c>
      <c r="BC51" s="146" t="s">
        <v>361</v>
      </c>
      <c r="BD51" s="146" t="s">
        <v>361</v>
      </c>
      <c r="BE51" s="146" t="s">
        <v>360</v>
      </c>
      <c r="BF51" s="146" t="s">
        <v>361</v>
      </c>
      <c r="BG51" s="146" t="s">
        <v>361</v>
      </c>
      <c r="BH51" s="146" t="s">
        <v>361</v>
      </c>
      <c r="BI51" s="146" t="s">
        <v>361</v>
      </c>
      <c r="BJ51" s="146" t="s">
        <v>360</v>
      </c>
      <c r="BK51" s="146" t="s">
        <v>361</v>
      </c>
      <c r="BL51" s="146" t="s">
        <v>361</v>
      </c>
      <c r="BM51" s="146" t="s">
        <v>360</v>
      </c>
      <c r="BN51" s="146" t="s">
        <v>361</v>
      </c>
      <c r="BO51" s="146" t="s">
        <v>361</v>
      </c>
      <c r="BP51" s="146" t="s">
        <v>361</v>
      </c>
      <c r="BQ51" s="146" t="s">
        <v>361</v>
      </c>
      <c r="BR51" s="146" t="s">
        <v>361</v>
      </c>
      <c r="BS51" s="146" t="s">
        <v>361</v>
      </c>
      <c r="BT51" s="146" t="s">
        <v>361</v>
      </c>
      <c r="BU51" s="146" t="s">
        <v>361</v>
      </c>
      <c r="BV51" s="146" t="s">
        <v>360</v>
      </c>
      <c r="BW51" s="146" t="s">
        <v>361</v>
      </c>
      <c r="BX51" s="146" t="s">
        <v>361</v>
      </c>
      <c r="BY51" s="146" t="s">
        <v>360</v>
      </c>
      <c r="BZ51" s="149" t="s">
        <v>361</v>
      </c>
    </row>
    <row r="52" spans="1:78" s="2" customFormat="1" x14ac:dyDescent="0.25">
      <c r="A52" s="181" t="s">
        <v>252</v>
      </c>
      <c r="B52" s="146" t="s">
        <v>360</v>
      </c>
      <c r="C52" s="146" t="s">
        <v>361</v>
      </c>
      <c r="D52" s="146" t="s">
        <v>360</v>
      </c>
      <c r="E52" s="146" t="s">
        <v>361</v>
      </c>
      <c r="F52" s="146" t="s">
        <v>361</v>
      </c>
      <c r="G52" s="146" t="s">
        <v>361</v>
      </c>
      <c r="H52" s="146" t="s">
        <v>361</v>
      </c>
      <c r="I52" s="146" t="s">
        <v>361</v>
      </c>
      <c r="J52" s="149" t="s">
        <v>361</v>
      </c>
      <c r="K52" s="181" t="s">
        <v>252</v>
      </c>
      <c r="L52" s="146" t="str">
        <f>LOOKUP($K52,PantheonList!$A$18:$A$139,PantheonList!$B$18:$B$139)</f>
        <v>Brawl</v>
      </c>
      <c r="M52" s="146" t="str">
        <f>LOOKUP($K52,PantheonList!$A$18:$A$139,PantheonList!$C$18:$C$139)</f>
        <v>Control</v>
      </c>
      <c r="N52" s="146" t="str">
        <f>LOOKUP($K52,PantheonList!$A$18:$A$139,PantheonList!$D$18:$D$139)</f>
        <v>Marksmanship</v>
      </c>
      <c r="O52" s="146" t="str">
        <f>LOOKUP($K52,PantheonList!$A$18:$A$139,PantheonList!$E$18:$E$139)</f>
        <v>Medicine</v>
      </c>
      <c r="P52" s="146" t="str">
        <f>LOOKUP($K52,PantheonList!$A$18:$A$139,PantheonList!$F$18:$F$139)</f>
        <v>Melee</v>
      </c>
      <c r="Q52" s="146" t="str">
        <f>LOOKUP($K52,PantheonList!$A$18:$A$139,PantheonList!$G$18:$G$139)</f>
        <v>Politics</v>
      </c>
      <c r="R52" s="146" t="str">
        <f t="shared" ref="R52:AA61" si="10">IF(OR($Q52=R$1,$P52=R$1,$O52=R$1,$N52=R$1,$M52=R$1,$L52=R$1),"Yes","No")</f>
        <v>No</v>
      </c>
      <c r="S52" s="146" t="str">
        <f t="shared" si="10"/>
        <v>No</v>
      </c>
      <c r="T52" s="146" t="str">
        <f t="shared" si="10"/>
        <v>No</v>
      </c>
      <c r="U52" s="146" t="str">
        <f t="shared" si="10"/>
        <v>No</v>
      </c>
      <c r="V52" s="146" t="str">
        <f t="shared" si="10"/>
        <v>No</v>
      </c>
      <c r="W52" s="146" t="str">
        <f t="shared" si="10"/>
        <v>Yes</v>
      </c>
      <c r="X52" s="146" t="str">
        <f t="shared" si="10"/>
        <v>No</v>
      </c>
      <c r="Y52" s="146" t="str">
        <f t="shared" si="10"/>
        <v>Yes</v>
      </c>
      <c r="Z52" s="146" t="str">
        <f t="shared" si="10"/>
        <v>No</v>
      </c>
      <c r="AA52" s="146" t="str">
        <f t="shared" si="10"/>
        <v>No</v>
      </c>
      <c r="AB52" s="146" t="str">
        <f t="shared" ref="AB52:AO61" si="11">IF(OR($Q52=AB$1,$P52=AB$1,$O52=AB$1,$N52=AB$1,$M52=AB$1,$L52=AB$1),"Yes","No")</f>
        <v>No</v>
      </c>
      <c r="AC52" s="146" t="str">
        <f t="shared" si="11"/>
        <v>No</v>
      </c>
      <c r="AD52" s="146" t="str">
        <f t="shared" si="11"/>
        <v>No</v>
      </c>
      <c r="AE52" s="146" t="str">
        <f t="shared" si="11"/>
        <v>No</v>
      </c>
      <c r="AF52" s="146" t="str">
        <f t="shared" si="11"/>
        <v>Yes</v>
      </c>
      <c r="AG52" s="146" t="str">
        <f t="shared" si="11"/>
        <v>Yes</v>
      </c>
      <c r="AH52" s="146" t="str">
        <f t="shared" si="11"/>
        <v>Yes</v>
      </c>
      <c r="AI52" s="146" t="str">
        <f t="shared" si="11"/>
        <v>No</v>
      </c>
      <c r="AJ52" s="146" t="str">
        <f t="shared" si="11"/>
        <v>Yes</v>
      </c>
      <c r="AK52" s="146" t="str">
        <f t="shared" si="11"/>
        <v>No</v>
      </c>
      <c r="AL52" s="146" t="str">
        <f t="shared" si="11"/>
        <v>No</v>
      </c>
      <c r="AM52" s="146" t="str">
        <f t="shared" si="11"/>
        <v>No</v>
      </c>
      <c r="AN52" s="146" t="str">
        <f t="shared" si="11"/>
        <v>No</v>
      </c>
      <c r="AO52" s="149" t="str">
        <f t="shared" si="11"/>
        <v>No</v>
      </c>
      <c r="AP52" s="181" t="s">
        <v>252</v>
      </c>
      <c r="AQ52" s="146">
        <v>52</v>
      </c>
      <c r="AR52" s="146" t="s">
        <v>361</v>
      </c>
      <c r="AS52" s="146" t="s">
        <v>361</v>
      </c>
      <c r="AT52" s="146" t="s">
        <v>361</v>
      </c>
      <c r="AU52" s="146" t="s">
        <v>361</v>
      </c>
      <c r="AV52" s="146" t="s">
        <v>361</v>
      </c>
      <c r="AW52" s="146" t="s">
        <v>361</v>
      </c>
      <c r="AX52" s="146" t="s">
        <v>361</v>
      </c>
      <c r="AY52" s="146" t="s">
        <v>361</v>
      </c>
      <c r="AZ52" s="146" t="s">
        <v>361</v>
      </c>
      <c r="BA52" s="146" t="s">
        <v>361</v>
      </c>
      <c r="BB52" s="146" t="s">
        <v>360</v>
      </c>
      <c r="BC52" s="146" t="s">
        <v>361</v>
      </c>
      <c r="BD52" s="146" t="s">
        <v>361</v>
      </c>
      <c r="BE52" s="146" t="s">
        <v>361</v>
      </c>
      <c r="BF52" s="146" t="s">
        <v>361</v>
      </c>
      <c r="BG52" s="146" t="s">
        <v>361</v>
      </c>
      <c r="BH52" s="146" t="s">
        <v>361</v>
      </c>
      <c r="BI52" s="146" t="s">
        <v>361</v>
      </c>
      <c r="BJ52" s="146" t="s">
        <v>361</v>
      </c>
      <c r="BK52" s="146" t="s">
        <v>361</v>
      </c>
      <c r="BL52" s="146" t="s">
        <v>361</v>
      </c>
      <c r="BM52" s="146" t="s">
        <v>361</v>
      </c>
      <c r="BN52" s="146" t="s">
        <v>361</v>
      </c>
      <c r="BO52" s="146" t="s">
        <v>361</v>
      </c>
      <c r="BP52" s="146" t="s">
        <v>361</v>
      </c>
      <c r="BQ52" s="146" t="s">
        <v>361</v>
      </c>
      <c r="BR52" s="146" t="s">
        <v>360</v>
      </c>
      <c r="BS52" s="146" t="s">
        <v>361</v>
      </c>
      <c r="BT52" s="146" t="s">
        <v>360</v>
      </c>
      <c r="BU52" s="146" t="s">
        <v>361</v>
      </c>
      <c r="BV52" s="146" t="s">
        <v>361</v>
      </c>
      <c r="BW52" s="146" t="s">
        <v>361</v>
      </c>
      <c r="BX52" s="146" t="s">
        <v>361</v>
      </c>
      <c r="BY52" s="146" t="s">
        <v>360</v>
      </c>
      <c r="BZ52" s="149" t="s">
        <v>360</v>
      </c>
    </row>
    <row r="53" spans="1:78" s="2" customFormat="1" x14ac:dyDescent="0.25">
      <c r="A53" s="181" t="s">
        <v>524</v>
      </c>
      <c r="B53" s="146" t="s">
        <v>361</v>
      </c>
      <c r="C53" s="146" t="s">
        <v>361</v>
      </c>
      <c r="D53" s="146" t="s">
        <v>361</v>
      </c>
      <c r="E53" s="146" t="s">
        <v>360</v>
      </c>
      <c r="F53" s="146" t="s">
        <v>360</v>
      </c>
      <c r="G53" s="146" t="s">
        <v>361</v>
      </c>
      <c r="H53" s="146" t="s">
        <v>361</v>
      </c>
      <c r="I53" s="146" t="s">
        <v>361</v>
      </c>
      <c r="J53" s="149" t="s">
        <v>361</v>
      </c>
      <c r="K53" s="181" t="s">
        <v>524</v>
      </c>
      <c r="L53" s="146" t="str">
        <f>LOOKUP($K53,PantheonList!$A$18:$A$139,PantheonList!$B$18:$B$139)</f>
        <v>Academics</v>
      </c>
      <c r="M53" s="146" t="str">
        <f>LOOKUP($K53,PantheonList!$A$18:$A$139,PantheonList!$C$18:$C$139)</f>
        <v>Integrity</v>
      </c>
      <c r="N53" s="146" t="str">
        <f>LOOKUP($K53,PantheonList!$A$18:$A$139,PantheonList!$D$18:$D$139)</f>
        <v>Investigation</v>
      </c>
      <c r="O53" s="146" t="str">
        <f>LOOKUP($K53,PantheonList!$A$18:$A$139,PantheonList!$E$18:$E$139)</f>
        <v>Occult</v>
      </c>
      <c r="P53" s="146" t="str">
        <f>LOOKUP($K53,PantheonList!$A$18:$A$139,PantheonList!$F$18:$F$139)</f>
        <v>Politics</v>
      </c>
      <c r="Q53" s="146" t="str">
        <f>LOOKUP($K53,PantheonList!$A$18:$A$139,PantheonList!$G$18:$G$139)</f>
        <v>Presence</v>
      </c>
      <c r="R53" s="146" t="str">
        <f t="shared" si="10"/>
        <v>Yes</v>
      </c>
      <c r="S53" s="146" t="str">
        <f t="shared" si="10"/>
        <v>No</v>
      </c>
      <c r="T53" s="146" t="str">
        <f t="shared" si="10"/>
        <v>No</v>
      </c>
      <c r="U53" s="146" t="str">
        <f t="shared" si="10"/>
        <v>No</v>
      </c>
      <c r="V53" s="146" t="str">
        <f t="shared" si="10"/>
        <v>No</v>
      </c>
      <c r="W53" s="146" t="str">
        <f t="shared" si="10"/>
        <v>No</v>
      </c>
      <c r="X53" s="146" t="str">
        <f t="shared" si="10"/>
        <v>No</v>
      </c>
      <c r="Y53" s="146" t="str">
        <f t="shared" si="10"/>
        <v>No</v>
      </c>
      <c r="Z53" s="146" t="str">
        <f t="shared" si="10"/>
        <v>No</v>
      </c>
      <c r="AA53" s="146" t="str">
        <f t="shared" si="10"/>
        <v>No</v>
      </c>
      <c r="AB53" s="146" t="str">
        <f t="shared" si="11"/>
        <v>No</v>
      </c>
      <c r="AC53" s="146" t="str">
        <f t="shared" si="11"/>
        <v>Yes</v>
      </c>
      <c r="AD53" s="146" t="str">
        <f t="shared" si="11"/>
        <v>Yes</v>
      </c>
      <c r="AE53" s="146" t="str">
        <f t="shared" si="11"/>
        <v>No</v>
      </c>
      <c r="AF53" s="146" t="str">
        <f t="shared" si="11"/>
        <v>No</v>
      </c>
      <c r="AG53" s="146" t="str">
        <f t="shared" si="11"/>
        <v>No</v>
      </c>
      <c r="AH53" s="146" t="str">
        <f t="shared" si="11"/>
        <v>No</v>
      </c>
      <c r="AI53" s="146" t="str">
        <f t="shared" si="11"/>
        <v>Yes</v>
      </c>
      <c r="AJ53" s="146" t="str">
        <f t="shared" si="11"/>
        <v>Yes</v>
      </c>
      <c r="AK53" s="146" t="str">
        <f t="shared" si="11"/>
        <v>Yes</v>
      </c>
      <c r="AL53" s="146" t="str">
        <f t="shared" si="11"/>
        <v>No</v>
      </c>
      <c r="AM53" s="146" t="str">
        <f t="shared" si="11"/>
        <v>No</v>
      </c>
      <c r="AN53" s="146" t="str">
        <f t="shared" si="11"/>
        <v>No</v>
      </c>
      <c r="AO53" s="149" t="str">
        <f t="shared" si="11"/>
        <v>No</v>
      </c>
      <c r="AP53" s="181" t="s">
        <v>524</v>
      </c>
      <c r="AQ53" s="146">
        <v>53</v>
      </c>
      <c r="AR53" s="146" t="s">
        <v>361</v>
      </c>
      <c r="AS53" s="146" t="s">
        <v>361</v>
      </c>
      <c r="AT53" s="146" t="s">
        <v>361</v>
      </c>
      <c r="AU53" s="146" t="s">
        <v>361</v>
      </c>
      <c r="AV53" s="146" t="s">
        <v>361</v>
      </c>
      <c r="AW53" s="146" t="s">
        <v>361</v>
      </c>
      <c r="AX53" s="146" t="s">
        <v>361</v>
      </c>
      <c r="AY53" s="146" t="s">
        <v>361</v>
      </c>
      <c r="AZ53" s="146" t="s">
        <v>361</v>
      </c>
      <c r="BA53" s="146" t="s">
        <v>361</v>
      </c>
      <c r="BB53" s="146" t="s">
        <v>360</v>
      </c>
      <c r="BC53" s="146" t="s">
        <v>361</v>
      </c>
      <c r="BD53" s="146" t="s">
        <v>361</v>
      </c>
      <c r="BE53" s="146" t="s">
        <v>360</v>
      </c>
      <c r="BF53" s="146" t="s">
        <v>360</v>
      </c>
      <c r="BG53" s="146" t="s">
        <v>360</v>
      </c>
      <c r="BH53" s="146" t="s">
        <v>361</v>
      </c>
      <c r="BI53" s="146" t="s">
        <v>361</v>
      </c>
      <c r="BJ53" s="146" t="s">
        <v>361</v>
      </c>
      <c r="BK53" s="146" t="s">
        <v>361</v>
      </c>
      <c r="BL53" s="146" t="s">
        <v>361</v>
      </c>
      <c r="BM53" s="146" t="s">
        <v>360</v>
      </c>
      <c r="BN53" s="146" t="s">
        <v>361</v>
      </c>
      <c r="BO53" s="146" t="s">
        <v>360</v>
      </c>
      <c r="BP53" s="146" t="s">
        <v>361</v>
      </c>
      <c r="BQ53" s="146" t="s">
        <v>361</v>
      </c>
      <c r="BR53" s="146" t="s">
        <v>361</v>
      </c>
      <c r="BS53" s="146" t="s">
        <v>361</v>
      </c>
      <c r="BT53" s="146" t="s">
        <v>361</v>
      </c>
      <c r="BU53" s="146" t="s">
        <v>361</v>
      </c>
      <c r="BV53" s="146" t="s">
        <v>361</v>
      </c>
      <c r="BW53" s="146" t="s">
        <v>361</v>
      </c>
      <c r="BX53" s="146" t="s">
        <v>361</v>
      </c>
      <c r="BY53" s="146" t="s">
        <v>361</v>
      </c>
      <c r="BZ53" s="149" t="s">
        <v>361</v>
      </c>
    </row>
    <row r="54" spans="1:78" s="2" customFormat="1" x14ac:dyDescent="0.25">
      <c r="A54" s="181" t="s">
        <v>221</v>
      </c>
      <c r="B54" s="146" t="s">
        <v>360</v>
      </c>
      <c r="C54" s="146" t="s">
        <v>361</v>
      </c>
      <c r="D54" s="146" t="s">
        <v>361</v>
      </c>
      <c r="E54" s="146" t="s">
        <v>360</v>
      </c>
      <c r="F54" s="146" t="s">
        <v>361</v>
      </c>
      <c r="G54" s="146" t="s">
        <v>361</v>
      </c>
      <c r="H54" s="146" t="s">
        <v>361</v>
      </c>
      <c r="I54" s="146" t="s">
        <v>361</v>
      </c>
      <c r="J54" s="149" t="s">
        <v>361</v>
      </c>
      <c r="K54" s="181" t="s">
        <v>221</v>
      </c>
      <c r="L54" s="146" t="str">
        <f>LOOKUP($K54,PantheonList!$A$18:$A$139,PantheonList!$B$18:$B$139)</f>
        <v>Academics</v>
      </c>
      <c r="M54" s="146" t="str">
        <f>LOOKUP($K54,PantheonList!$A$18:$A$139,PantheonList!$C$18:$C$139)</f>
        <v>Awareness</v>
      </c>
      <c r="N54" s="146" t="str">
        <f>LOOKUP($K54,PantheonList!$A$18:$A$139,PantheonList!$D$18:$D$139)</f>
        <v>Fortitude</v>
      </c>
      <c r="O54" s="146" t="str">
        <f>LOOKUP($K54,PantheonList!$A$18:$A$139,PantheonList!$E$18:$E$139)</f>
        <v>Melee</v>
      </c>
      <c r="P54" s="146" t="str">
        <f>LOOKUP($K54,PantheonList!$A$18:$A$139,PantheonList!$F$18:$F$139)</f>
        <v>Presence</v>
      </c>
      <c r="Q54" s="146" t="str">
        <f>LOOKUP($K54,PantheonList!$A$18:$A$139,PantheonList!$G$18:$G$139)</f>
        <v>Thrown</v>
      </c>
      <c r="R54" s="146" t="str">
        <f t="shared" si="10"/>
        <v>Yes</v>
      </c>
      <c r="S54" s="146" t="str">
        <f t="shared" si="10"/>
        <v>No</v>
      </c>
      <c r="T54" s="146" t="str">
        <f t="shared" si="10"/>
        <v>No</v>
      </c>
      <c r="U54" s="146" t="str">
        <f t="shared" si="10"/>
        <v>No</v>
      </c>
      <c r="V54" s="146" t="str">
        <f t="shared" si="10"/>
        <v>Yes</v>
      </c>
      <c r="W54" s="146" t="str">
        <f t="shared" si="10"/>
        <v>No</v>
      </c>
      <c r="X54" s="146" t="str">
        <f t="shared" si="10"/>
        <v>No</v>
      </c>
      <c r="Y54" s="146" t="str">
        <f t="shared" si="10"/>
        <v>No</v>
      </c>
      <c r="Z54" s="146" t="str">
        <f t="shared" si="10"/>
        <v>No</v>
      </c>
      <c r="AA54" s="146" t="str">
        <f t="shared" si="10"/>
        <v>No</v>
      </c>
      <c r="AB54" s="146" t="str">
        <f t="shared" si="11"/>
        <v>Yes</v>
      </c>
      <c r="AC54" s="146" t="str">
        <f t="shared" si="11"/>
        <v>No</v>
      </c>
      <c r="AD54" s="146" t="str">
        <f t="shared" si="11"/>
        <v>No</v>
      </c>
      <c r="AE54" s="146" t="str">
        <f t="shared" si="11"/>
        <v>No</v>
      </c>
      <c r="AF54" s="146" t="str">
        <f t="shared" si="11"/>
        <v>No</v>
      </c>
      <c r="AG54" s="146" t="str">
        <f t="shared" si="11"/>
        <v>No</v>
      </c>
      <c r="AH54" s="146" t="str">
        <f t="shared" si="11"/>
        <v>Yes</v>
      </c>
      <c r="AI54" s="146" t="str">
        <f t="shared" si="11"/>
        <v>No</v>
      </c>
      <c r="AJ54" s="146" t="str">
        <f t="shared" si="11"/>
        <v>No</v>
      </c>
      <c r="AK54" s="146" t="str">
        <f t="shared" si="11"/>
        <v>Yes</v>
      </c>
      <c r="AL54" s="146" t="str">
        <f t="shared" si="11"/>
        <v>No</v>
      </c>
      <c r="AM54" s="146" t="str">
        <f t="shared" si="11"/>
        <v>No</v>
      </c>
      <c r="AN54" s="146" t="str">
        <f t="shared" si="11"/>
        <v>No</v>
      </c>
      <c r="AO54" s="149" t="str">
        <f t="shared" si="11"/>
        <v>Yes</v>
      </c>
      <c r="AP54" s="181" t="s">
        <v>221</v>
      </c>
      <c r="AQ54" s="146">
        <v>54</v>
      </c>
      <c r="AR54" s="146" t="s">
        <v>361</v>
      </c>
      <c r="AS54" s="146" t="s">
        <v>361</v>
      </c>
      <c r="AT54" s="146" t="s">
        <v>361</v>
      </c>
      <c r="AU54" s="146" t="s">
        <v>361</v>
      </c>
      <c r="AV54" s="146" t="s">
        <v>361</v>
      </c>
      <c r="AW54" s="146" t="s">
        <v>361</v>
      </c>
      <c r="AX54" s="146" t="s">
        <v>361</v>
      </c>
      <c r="AY54" s="146" t="s">
        <v>361</v>
      </c>
      <c r="AZ54" s="146" t="s">
        <v>361</v>
      </c>
      <c r="BA54" s="146" t="s">
        <v>361</v>
      </c>
      <c r="BB54" s="146" t="s">
        <v>361</v>
      </c>
      <c r="BC54" s="146" t="s">
        <v>361</v>
      </c>
      <c r="BD54" s="146" t="s">
        <v>361</v>
      </c>
      <c r="BE54" s="146" t="s">
        <v>361</v>
      </c>
      <c r="BF54" s="146" t="s">
        <v>361</v>
      </c>
      <c r="BG54" s="146" t="s">
        <v>361</v>
      </c>
      <c r="BH54" s="146" t="s">
        <v>361</v>
      </c>
      <c r="BI54" s="146" t="s">
        <v>361</v>
      </c>
      <c r="BJ54" s="146" t="s">
        <v>361</v>
      </c>
      <c r="BK54" s="146" t="s">
        <v>361</v>
      </c>
      <c r="BL54" s="146" t="s">
        <v>361</v>
      </c>
      <c r="BM54" s="146" t="s">
        <v>361</v>
      </c>
      <c r="BN54" s="146" t="s">
        <v>361</v>
      </c>
      <c r="BO54" s="146" t="s">
        <v>361</v>
      </c>
      <c r="BP54" s="146" t="s">
        <v>361</v>
      </c>
      <c r="BQ54" s="146" t="s">
        <v>360</v>
      </c>
      <c r="BR54" s="146" t="s">
        <v>361</v>
      </c>
      <c r="BS54" s="146" t="s">
        <v>361</v>
      </c>
      <c r="BT54" s="146" t="s">
        <v>360</v>
      </c>
      <c r="BU54" s="146" t="s">
        <v>361</v>
      </c>
      <c r="BV54" s="146" t="s">
        <v>361</v>
      </c>
      <c r="BW54" s="146" t="s">
        <v>361</v>
      </c>
      <c r="BX54" s="146" t="s">
        <v>360</v>
      </c>
      <c r="BY54" s="146" t="s">
        <v>361</v>
      </c>
      <c r="BZ54" s="149" t="s">
        <v>361</v>
      </c>
    </row>
    <row r="55" spans="1:78" s="2" customFormat="1" x14ac:dyDescent="0.25">
      <c r="A55" s="181" t="s">
        <v>222</v>
      </c>
      <c r="B55" s="146" t="s">
        <v>361</v>
      </c>
      <c r="C55" s="146" t="s">
        <v>361</v>
      </c>
      <c r="D55" s="146" t="s">
        <v>361</v>
      </c>
      <c r="E55" s="146" t="s">
        <v>360</v>
      </c>
      <c r="F55" s="146" t="s">
        <v>361</v>
      </c>
      <c r="G55" s="146" t="s">
        <v>360</v>
      </c>
      <c r="H55" s="146" t="s">
        <v>361</v>
      </c>
      <c r="I55" s="146" t="s">
        <v>361</v>
      </c>
      <c r="J55" s="149" t="s">
        <v>361</v>
      </c>
      <c r="K55" s="181" t="s">
        <v>222</v>
      </c>
      <c r="L55" s="146" t="str">
        <f>LOOKUP($K55,PantheonList!$A$18:$A$139,PantheonList!$B$18:$B$139)</f>
        <v>Brawl</v>
      </c>
      <c r="M55" s="146" t="str">
        <f>LOOKUP($K55,PantheonList!$A$18:$A$139,PantheonList!$C$18:$C$139)</f>
        <v>Command</v>
      </c>
      <c r="N55" s="146" t="str">
        <f>LOOKUP($K55,PantheonList!$A$18:$A$139,PantheonList!$D$18:$D$139)</f>
        <v>Fortitude</v>
      </c>
      <c r="O55" s="146" t="str">
        <f>LOOKUP($K55,PantheonList!$A$18:$A$139,PantheonList!$E$18:$E$139)</f>
        <v>Integrity</v>
      </c>
      <c r="P55" s="146" t="str">
        <f>LOOKUP($K55,PantheonList!$A$18:$A$139,PantheonList!$F$18:$F$139)</f>
        <v>Occult</v>
      </c>
      <c r="Q55" s="146" t="str">
        <f>LOOKUP($K55,PantheonList!$A$18:$A$139,PantheonList!$G$18:$G$139)</f>
        <v>Stealth</v>
      </c>
      <c r="R55" s="146" t="str">
        <f t="shared" si="10"/>
        <v>No</v>
      </c>
      <c r="S55" s="146" t="str">
        <f t="shared" si="10"/>
        <v>No</v>
      </c>
      <c r="T55" s="146" t="str">
        <f t="shared" si="10"/>
        <v>No</v>
      </c>
      <c r="U55" s="146" t="str">
        <f t="shared" si="10"/>
        <v>No</v>
      </c>
      <c r="V55" s="146" t="str">
        <f t="shared" si="10"/>
        <v>No</v>
      </c>
      <c r="W55" s="146" t="str">
        <f t="shared" si="10"/>
        <v>Yes</v>
      </c>
      <c r="X55" s="146" t="str">
        <f t="shared" si="10"/>
        <v>Yes</v>
      </c>
      <c r="Y55" s="146" t="str">
        <f t="shared" si="10"/>
        <v>No</v>
      </c>
      <c r="Z55" s="146" t="str">
        <f t="shared" si="10"/>
        <v>No</v>
      </c>
      <c r="AA55" s="146" t="str">
        <f t="shared" si="10"/>
        <v>No</v>
      </c>
      <c r="AB55" s="146" t="str">
        <f t="shared" si="11"/>
        <v>Yes</v>
      </c>
      <c r="AC55" s="146" t="str">
        <f t="shared" si="11"/>
        <v>Yes</v>
      </c>
      <c r="AD55" s="146" t="str">
        <f t="shared" si="11"/>
        <v>No</v>
      </c>
      <c r="AE55" s="146" t="str">
        <f t="shared" si="11"/>
        <v>No</v>
      </c>
      <c r="AF55" s="146" t="str">
        <f t="shared" si="11"/>
        <v>No</v>
      </c>
      <c r="AG55" s="146" t="str">
        <f t="shared" si="11"/>
        <v>No</v>
      </c>
      <c r="AH55" s="146" t="str">
        <f t="shared" si="11"/>
        <v>No</v>
      </c>
      <c r="AI55" s="146" t="str">
        <f t="shared" si="11"/>
        <v>Yes</v>
      </c>
      <c r="AJ55" s="146" t="str">
        <f t="shared" si="11"/>
        <v>No</v>
      </c>
      <c r="AK55" s="146" t="str">
        <f t="shared" si="11"/>
        <v>No</v>
      </c>
      <c r="AL55" s="146" t="str">
        <f t="shared" si="11"/>
        <v>No</v>
      </c>
      <c r="AM55" s="146" t="str">
        <f t="shared" si="11"/>
        <v>Yes</v>
      </c>
      <c r="AN55" s="146" t="str">
        <f t="shared" si="11"/>
        <v>No</v>
      </c>
      <c r="AO55" s="149" t="str">
        <f t="shared" si="11"/>
        <v>No</v>
      </c>
      <c r="AP55" s="181" t="s">
        <v>222</v>
      </c>
      <c r="AQ55" s="146">
        <v>55</v>
      </c>
      <c r="AR55" s="146" t="s">
        <v>361</v>
      </c>
      <c r="AS55" s="146" t="s">
        <v>361</v>
      </c>
      <c r="AT55" s="146" t="s">
        <v>361</v>
      </c>
      <c r="AU55" s="146" t="s">
        <v>361</v>
      </c>
      <c r="AV55" s="146" t="s">
        <v>361</v>
      </c>
      <c r="AW55" s="146" t="s">
        <v>361</v>
      </c>
      <c r="AX55" s="146" t="s">
        <v>360</v>
      </c>
      <c r="AY55" s="146" t="s">
        <v>360</v>
      </c>
      <c r="AZ55" s="146" t="s">
        <v>360</v>
      </c>
      <c r="BA55" s="146" t="s">
        <v>361</v>
      </c>
      <c r="BB55" s="146" t="s">
        <v>361</v>
      </c>
      <c r="BC55" s="146" t="s">
        <v>361</v>
      </c>
      <c r="BD55" s="146" t="s">
        <v>361</v>
      </c>
      <c r="BE55" s="146" t="s">
        <v>361</v>
      </c>
      <c r="BF55" s="146" t="s">
        <v>361</v>
      </c>
      <c r="BG55" s="146" t="s">
        <v>361</v>
      </c>
      <c r="BH55" s="146" t="s">
        <v>361</v>
      </c>
      <c r="BI55" s="146" t="s">
        <v>361</v>
      </c>
      <c r="BJ55" s="146" t="s">
        <v>361</v>
      </c>
      <c r="BK55" s="146" t="s">
        <v>361</v>
      </c>
      <c r="BL55" s="146" t="s">
        <v>361</v>
      </c>
      <c r="BM55" s="146" t="s">
        <v>361</v>
      </c>
      <c r="BN55" s="146" t="s">
        <v>361</v>
      </c>
      <c r="BO55" s="146" t="s">
        <v>361</v>
      </c>
      <c r="BP55" s="146" t="s">
        <v>361</v>
      </c>
      <c r="BQ55" s="146" t="s">
        <v>361</v>
      </c>
      <c r="BR55" s="146" t="s">
        <v>361</v>
      </c>
      <c r="BS55" s="146" t="s">
        <v>361</v>
      </c>
      <c r="BT55" s="146" t="s">
        <v>361</v>
      </c>
      <c r="BU55" s="146" t="s">
        <v>361</v>
      </c>
      <c r="BV55" s="146" t="s">
        <v>361</v>
      </c>
      <c r="BW55" s="146" t="s">
        <v>361</v>
      </c>
      <c r="BX55" s="146" t="s">
        <v>360</v>
      </c>
      <c r="BY55" s="146" t="s">
        <v>361</v>
      </c>
      <c r="BZ55" s="149" t="s">
        <v>361</v>
      </c>
    </row>
    <row r="56" spans="1:78" s="2" customFormat="1" x14ac:dyDescent="0.25">
      <c r="A56" s="181" t="s">
        <v>326</v>
      </c>
      <c r="B56" s="146" t="s">
        <v>361</v>
      </c>
      <c r="C56" s="146" t="s">
        <v>361</v>
      </c>
      <c r="D56" s="146" t="s">
        <v>360</v>
      </c>
      <c r="E56" s="146" t="s">
        <v>361</v>
      </c>
      <c r="F56" s="146" t="s">
        <v>361</v>
      </c>
      <c r="G56" s="146" t="s">
        <v>361</v>
      </c>
      <c r="H56" s="146" t="s">
        <v>361</v>
      </c>
      <c r="I56" s="146" t="s">
        <v>361</v>
      </c>
      <c r="J56" s="149" t="s">
        <v>361</v>
      </c>
      <c r="K56" s="181" t="s">
        <v>326</v>
      </c>
      <c r="L56" s="146" t="str">
        <f>LOOKUP($K56,PantheonList!$A$18:$A$139,PantheonList!$B$18:$B$139)</f>
        <v>Athletics</v>
      </c>
      <c r="M56" s="146" t="str">
        <f>LOOKUP($K56,PantheonList!$A$18:$A$139,PantheonList!$C$18:$C$139)</f>
        <v>Brawl</v>
      </c>
      <c r="N56" s="146" t="str">
        <f>LOOKUP($K56,PantheonList!$A$18:$A$139,PantheonList!$D$18:$D$139)</f>
        <v>Control</v>
      </c>
      <c r="O56" s="146" t="str">
        <f>LOOKUP($K56,PantheonList!$A$18:$A$139,PantheonList!$E$18:$E$139)</f>
        <v>Command</v>
      </c>
      <c r="P56" s="146" t="str">
        <f>LOOKUP($K56,PantheonList!$A$18:$A$139,PantheonList!$F$18:$F$139)</f>
        <v>Integrity</v>
      </c>
      <c r="Q56" s="146" t="str">
        <f>LOOKUP($K56,PantheonList!$A$18:$A$139,PantheonList!$G$18:$G$139)</f>
        <v>Survival</v>
      </c>
      <c r="R56" s="146" t="str">
        <f t="shared" si="10"/>
        <v>No</v>
      </c>
      <c r="S56" s="146" t="str">
        <f t="shared" si="10"/>
        <v>No</v>
      </c>
      <c r="T56" s="146" t="str">
        <f t="shared" si="10"/>
        <v>No</v>
      </c>
      <c r="U56" s="146" t="str">
        <f t="shared" si="10"/>
        <v>Yes</v>
      </c>
      <c r="V56" s="146" t="str">
        <f t="shared" si="10"/>
        <v>No</v>
      </c>
      <c r="W56" s="146" t="str">
        <f t="shared" si="10"/>
        <v>Yes</v>
      </c>
      <c r="X56" s="146" t="str">
        <f t="shared" si="10"/>
        <v>Yes</v>
      </c>
      <c r="Y56" s="146" t="str">
        <f t="shared" si="10"/>
        <v>Yes</v>
      </c>
      <c r="Z56" s="146" t="str">
        <f t="shared" si="10"/>
        <v>No</v>
      </c>
      <c r="AA56" s="146" t="str">
        <f t="shared" si="10"/>
        <v>No</v>
      </c>
      <c r="AB56" s="146" t="str">
        <f t="shared" si="11"/>
        <v>No</v>
      </c>
      <c r="AC56" s="146" t="str">
        <f t="shared" si="11"/>
        <v>Yes</v>
      </c>
      <c r="AD56" s="146" t="str">
        <f t="shared" si="11"/>
        <v>No</v>
      </c>
      <c r="AE56" s="146" t="str">
        <f t="shared" si="11"/>
        <v>No</v>
      </c>
      <c r="AF56" s="146" t="str">
        <f t="shared" si="11"/>
        <v>No</v>
      </c>
      <c r="AG56" s="146" t="str">
        <f t="shared" si="11"/>
        <v>No</v>
      </c>
      <c r="AH56" s="146" t="str">
        <f t="shared" si="11"/>
        <v>No</v>
      </c>
      <c r="AI56" s="146" t="str">
        <f t="shared" si="11"/>
        <v>No</v>
      </c>
      <c r="AJ56" s="146" t="str">
        <f t="shared" si="11"/>
        <v>No</v>
      </c>
      <c r="AK56" s="146" t="str">
        <f t="shared" si="11"/>
        <v>No</v>
      </c>
      <c r="AL56" s="146" t="str">
        <f t="shared" si="11"/>
        <v>No</v>
      </c>
      <c r="AM56" s="146" t="str">
        <f t="shared" si="11"/>
        <v>No</v>
      </c>
      <c r="AN56" s="146" t="str">
        <f t="shared" si="11"/>
        <v>Yes</v>
      </c>
      <c r="AO56" s="149" t="str">
        <f t="shared" si="11"/>
        <v>No</v>
      </c>
      <c r="AP56" s="181" t="s">
        <v>326</v>
      </c>
      <c r="AQ56" s="146">
        <v>56</v>
      </c>
      <c r="AR56" s="146" t="s">
        <v>360</v>
      </c>
      <c r="AS56" s="146" t="s">
        <v>361</v>
      </c>
      <c r="AT56" s="146" t="s">
        <v>361</v>
      </c>
      <c r="AU56" s="146" t="s">
        <v>361</v>
      </c>
      <c r="AV56" s="146" t="s">
        <v>361</v>
      </c>
      <c r="AW56" s="146" t="s">
        <v>360</v>
      </c>
      <c r="AX56" s="146" t="s">
        <v>361</v>
      </c>
      <c r="AY56" s="146" t="s">
        <v>361</v>
      </c>
      <c r="AZ56" s="146" t="s">
        <v>361</v>
      </c>
      <c r="BA56" s="146" t="s">
        <v>361</v>
      </c>
      <c r="BB56" s="146" t="s">
        <v>361</v>
      </c>
      <c r="BC56" s="146" t="s">
        <v>361</v>
      </c>
      <c r="BD56" s="146" t="s">
        <v>361</v>
      </c>
      <c r="BE56" s="146" t="s">
        <v>361</v>
      </c>
      <c r="BF56" s="146" t="s">
        <v>361</v>
      </c>
      <c r="BG56" s="146" t="s">
        <v>361</v>
      </c>
      <c r="BH56" s="146" t="s">
        <v>361</v>
      </c>
      <c r="BI56" s="146" t="s">
        <v>361</v>
      </c>
      <c r="BJ56" s="146" t="s">
        <v>361</v>
      </c>
      <c r="BK56" s="146" t="s">
        <v>361</v>
      </c>
      <c r="BL56" s="146" t="s">
        <v>361</v>
      </c>
      <c r="BM56" s="146" t="s">
        <v>361</v>
      </c>
      <c r="BN56" s="146" t="s">
        <v>361</v>
      </c>
      <c r="BO56" s="146" t="s">
        <v>361</v>
      </c>
      <c r="BP56" s="146" t="s">
        <v>361</v>
      </c>
      <c r="BQ56" s="146" t="s">
        <v>360</v>
      </c>
      <c r="BR56" s="146" t="s">
        <v>361</v>
      </c>
      <c r="BS56" s="146" t="s">
        <v>361</v>
      </c>
      <c r="BT56" s="146" t="s">
        <v>361</v>
      </c>
      <c r="BU56" s="146" t="s">
        <v>361</v>
      </c>
      <c r="BV56" s="146" t="s">
        <v>361</v>
      </c>
      <c r="BW56" s="146" t="s">
        <v>361</v>
      </c>
      <c r="BX56" s="146" t="s">
        <v>361</v>
      </c>
      <c r="BY56" s="146" t="s">
        <v>360</v>
      </c>
      <c r="BZ56" s="149" t="s">
        <v>361</v>
      </c>
    </row>
    <row r="57" spans="1:78" s="2" customFormat="1" x14ac:dyDescent="0.25">
      <c r="A57" s="181" t="s">
        <v>318</v>
      </c>
      <c r="B57" s="146" t="s">
        <v>360</v>
      </c>
      <c r="C57" s="146" t="s">
        <v>361</v>
      </c>
      <c r="D57" s="146" t="s">
        <v>360</v>
      </c>
      <c r="E57" s="146" t="s">
        <v>361</v>
      </c>
      <c r="F57" s="146" t="s">
        <v>361</v>
      </c>
      <c r="G57" s="146" t="s">
        <v>361</v>
      </c>
      <c r="H57" s="146" t="s">
        <v>361</v>
      </c>
      <c r="I57" s="146" t="s">
        <v>361</v>
      </c>
      <c r="J57" s="149" t="s">
        <v>361</v>
      </c>
      <c r="K57" s="181" t="s">
        <v>318</v>
      </c>
      <c r="L57" s="146" t="str">
        <f>LOOKUP($K57,PantheonList!$A$18:$A$139,PantheonList!$B$18:$B$139)</f>
        <v>Athletics</v>
      </c>
      <c r="M57" s="146" t="str">
        <f>LOOKUP($K57,PantheonList!$A$18:$A$139,PantheonList!$C$18:$C$139)</f>
        <v>Brawl</v>
      </c>
      <c r="N57" s="146" t="str">
        <f>LOOKUP($K57,PantheonList!$A$18:$A$139,PantheonList!$D$18:$D$139)</f>
        <v>Craft</v>
      </c>
      <c r="O57" s="146" t="str">
        <f>LOOKUP($K57,PantheonList!$A$18:$A$139,PantheonList!$E$18:$E$139)</f>
        <v>Fortitude</v>
      </c>
      <c r="P57" s="146" t="str">
        <f>LOOKUP($K57,PantheonList!$A$18:$A$139,PantheonList!$F$18:$F$139)</f>
        <v>Integrity</v>
      </c>
      <c r="Q57" s="146" t="str">
        <f>LOOKUP($K57,PantheonList!$A$18:$A$139,PantheonList!$G$18:$G$139)</f>
        <v>Melee</v>
      </c>
      <c r="R57" s="146" t="str">
        <f t="shared" si="10"/>
        <v>No</v>
      </c>
      <c r="S57" s="146" t="str">
        <f t="shared" si="10"/>
        <v>No</v>
      </c>
      <c r="T57" s="146" t="str">
        <f t="shared" si="10"/>
        <v>No</v>
      </c>
      <c r="U57" s="146" t="str">
        <f t="shared" si="10"/>
        <v>Yes</v>
      </c>
      <c r="V57" s="146" t="str">
        <f t="shared" si="10"/>
        <v>No</v>
      </c>
      <c r="W57" s="146" t="str">
        <f t="shared" si="10"/>
        <v>Yes</v>
      </c>
      <c r="X57" s="146" t="str">
        <f t="shared" si="10"/>
        <v>No</v>
      </c>
      <c r="Y57" s="146" t="str">
        <f t="shared" si="10"/>
        <v>No</v>
      </c>
      <c r="Z57" s="146" t="str">
        <f t="shared" si="10"/>
        <v>Yes</v>
      </c>
      <c r="AA57" s="146" t="str">
        <f t="shared" si="10"/>
        <v>No</v>
      </c>
      <c r="AB57" s="146" t="str">
        <f t="shared" si="11"/>
        <v>Yes</v>
      </c>
      <c r="AC57" s="146" t="str">
        <f t="shared" si="11"/>
        <v>Yes</v>
      </c>
      <c r="AD57" s="146" t="str">
        <f t="shared" si="11"/>
        <v>No</v>
      </c>
      <c r="AE57" s="146" t="str">
        <f t="shared" si="11"/>
        <v>No</v>
      </c>
      <c r="AF57" s="146" t="str">
        <f t="shared" si="11"/>
        <v>No</v>
      </c>
      <c r="AG57" s="146" t="str">
        <f t="shared" si="11"/>
        <v>No</v>
      </c>
      <c r="AH57" s="146" t="str">
        <f t="shared" si="11"/>
        <v>Yes</v>
      </c>
      <c r="AI57" s="146" t="str">
        <f t="shared" si="11"/>
        <v>No</v>
      </c>
      <c r="AJ57" s="146" t="str">
        <f t="shared" si="11"/>
        <v>No</v>
      </c>
      <c r="AK57" s="146" t="str">
        <f t="shared" si="11"/>
        <v>No</v>
      </c>
      <c r="AL57" s="146" t="str">
        <f t="shared" si="11"/>
        <v>No</v>
      </c>
      <c r="AM57" s="146" t="str">
        <f t="shared" si="11"/>
        <v>No</v>
      </c>
      <c r="AN57" s="146" t="str">
        <f t="shared" si="11"/>
        <v>No</v>
      </c>
      <c r="AO57" s="149" t="str">
        <f t="shared" si="11"/>
        <v>No</v>
      </c>
      <c r="AP57" s="181" t="s">
        <v>318</v>
      </c>
      <c r="AQ57" s="146">
        <v>57</v>
      </c>
      <c r="AR57" s="146" t="s">
        <v>361</v>
      </c>
      <c r="AS57" s="146" t="s">
        <v>361</v>
      </c>
      <c r="AT57" s="146" t="s">
        <v>361</v>
      </c>
      <c r="AU57" s="146" t="s">
        <v>361</v>
      </c>
      <c r="AV57" s="146" t="s">
        <v>361</v>
      </c>
      <c r="AW57" s="146" t="s">
        <v>361</v>
      </c>
      <c r="AX57" s="146" t="s">
        <v>361</v>
      </c>
      <c r="AY57" s="146" t="s">
        <v>361</v>
      </c>
      <c r="AZ57" s="146" t="s">
        <v>361</v>
      </c>
      <c r="BA57" s="146" t="s">
        <v>361</v>
      </c>
      <c r="BB57" s="146" t="s">
        <v>361</v>
      </c>
      <c r="BC57" s="146" t="s">
        <v>360</v>
      </c>
      <c r="BD57" s="146" t="s">
        <v>361</v>
      </c>
      <c r="BE57" s="146" t="s">
        <v>361</v>
      </c>
      <c r="BF57" s="146" t="s">
        <v>361</v>
      </c>
      <c r="BG57" s="146" t="s">
        <v>361</v>
      </c>
      <c r="BH57" s="146" t="s">
        <v>361</v>
      </c>
      <c r="BI57" s="146" t="s">
        <v>360</v>
      </c>
      <c r="BJ57" s="146" t="s">
        <v>361</v>
      </c>
      <c r="BK57" s="146" t="s">
        <v>361</v>
      </c>
      <c r="BL57" s="146" t="s">
        <v>361</v>
      </c>
      <c r="BM57" s="146" t="s">
        <v>361</v>
      </c>
      <c r="BN57" s="146" t="s">
        <v>361</v>
      </c>
      <c r="BO57" s="146" t="s">
        <v>361</v>
      </c>
      <c r="BP57" s="146" t="s">
        <v>361</v>
      </c>
      <c r="BQ57" s="146" t="s">
        <v>361</v>
      </c>
      <c r="BR57" s="146" t="s">
        <v>361</v>
      </c>
      <c r="BS57" s="146" t="s">
        <v>361</v>
      </c>
      <c r="BT57" s="146" t="s">
        <v>361</v>
      </c>
      <c r="BU57" s="146" t="s">
        <v>361</v>
      </c>
      <c r="BV57" s="146" t="s">
        <v>361</v>
      </c>
      <c r="BW57" s="146" t="s">
        <v>361</v>
      </c>
      <c r="BX57" s="146" t="s">
        <v>361</v>
      </c>
      <c r="BY57" s="146" t="s">
        <v>361</v>
      </c>
      <c r="BZ57" s="149" t="s">
        <v>361</v>
      </c>
    </row>
    <row r="58" spans="1:78" s="2" customFormat="1" x14ac:dyDescent="0.25">
      <c r="A58" s="181" t="s">
        <v>319</v>
      </c>
      <c r="B58" s="146" t="s">
        <v>361</v>
      </c>
      <c r="C58" s="146" t="s">
        <v>361</v>
      </c>
      <c r="D58" s="146" t="s">
        <v>361</v>
      </c>
      <c r="E58" s="146" t="s">
        <v>360</v>
      </c>
      <c r="F58" s="146" t="s">
        <v>361</v>
      </c>
      <c r="G58" s="146" t="s">
        <v>361</v>
      </c>
      <c r="H58" s="146" t="s">
        <v>361</v>
      </c>
      <c r="I58" s="146" t="s">
        <v>361</v>
      </c>
      <c r="J58" s="149" t="s">
        <v>361</v>
      </c>
      <c r="K58" s="181" t="s">
        <v>319</v>
      </c>
      <c r="L58" s="146" t="str">
        <f>LOOKUP($K58,PantheonList!$A$18:$A$139,PantheonList!$B$18:$B$139)</f>
        <v>Animal Ken</v>
      </c>
      <c r="M58" s="146" t="str">
        <f>LOOKUP($K58,PantheonList!$A$18:$A$139,PantheonList!$C$18:$C$139)</f>
        <v>Craft</v>
      </c>
      <c r="N58" s="146" t="str">
        <f>LOOKUP($K58,PantheonList!$A$18:$A$139,PantheonList!$D$18:$D$139)</f>
        <v>Empathy</v>
      </c>
      <c r="O58" s="146" t="str">
        <f>LOOKUP($K58,PantheonList!$A$18:$A$139,PantheonList!$E$18:$E$139)</f>
        <v>Medicine</v>
      </c>
      <c r="P58" s="146" t="str">
        <f>LOOKUP($K58,PantheonList!$A$18:$A$139,PantheonList!$F$18:$F$139)</f>
        <v>Science</v>
      </c>
      <c r="Q58" s="146" t="str">
        <f>LOOKUP($K58,PantheonList!$A$18:$A$139,PantheonList!$G$18:$G$139)</f>
        <v>Survival</v>
      </c>
      <c r="R58" s="146" t="str">
        <f t="shared" si="10"/>
        <v>No</v>
      </c>
      <c r="S58" s="146" t="str">
        <f t="shared" si="10"/>
        <v>Yes</v>
      </c>
      <c r="T58" s="146" t="str">
        <f t="shared" si="10"/>
        <v>No</v>
      </c>
      <c r="U58" s="146" t="str">
        <f t="shared" si="10"/>
        <v>No</v>
      </c>
      <c r="V58" s="146" t="str">
        <f t="shared" si="10"/>
        <v>No</v>
      </c>
      <c r="W58" s="146" t="str">
        <f t="shared" si="10"/>
        <v>No</v>
      </c>
      <c r="X58" s="146" t="str">
        <f t="shared" si="10"/>
        <v>No</v>
      </c>
      <c r="Y58" s="146" t="str">
        <f t="shared" si="10"/>
        <v>No</v>
      </c>
      <c r="Z58" s="146" t="str">
        <f t="shared" si="10"/>
        <v>Yes</v>
      </c>
      <c r="AA58" s="146" t="str">
        <f t="shared" si="10"/>
        <v>Yes</v>
      </c>
      <c r="AB58" s="146" t="str">
        <f t="shared" si="11"/>
        <v>No</v>
      </c>
      <c r="AC58" s="146" t="str">
        <f t="shared" si="11"/>
        <v>No</v>
      </c>
      <c r="AD58" s="146" t="str">
        <f t="shared" si="11"/>
        <v>No</v>
      </c>
      <c r="AE58" s="146" t="str">
        <f t="shared" si="11"/>
        <v>No</v>
      </c>
      <c r="AF58" s="146" t="str">
        <f t="shared" si="11"/>
        <v>No</v>
      </c>
      <c r="AG58" s="146" t="str">
        <f t="shared" si="11"/>
        <v>Yes</v>
      </c>
      <c r="AH58" s="146" t="str">
        <f t="shared" si="11"/>
        <v>No</v>
      </c>
      <c r="AI58" s="146" t="str">
        <f t="shared" si="11"/>
        <v>No</v>
      </c>
      <c r="AJ58" s="146" t="str">
        <f t="shared" si="11"/>
        <v>No</v>
      </c>
      <c r="AK58" s="146" t="str">
        <f t="shared" si="11"/>
        <v>No</v>
      </c>
      <c r="AL58" s="146" t="str">
        <f t="shared" si="11"/>
        <v>Yes</v>
      </c>
      <c r="AM58" s="146" t="str">
        <f t="shared" si="11"/>
        <v>No</v>
      </c>
      <c r="AN58" s="146" t="str">
        <f t="shared" si="11"/>
        <v>Yes</v>
      </c>
      <c r="AO58" s="149" t="str">
        <f t="shared" si="11"/>
        <v>No</v>
      </c>
      <c r="AP58" s="181" t="s">
        <v>319</v>
      </c>
      <c r="AQ58" s="146">
        <v>58</v>
      </c>
      <c r="AR58" s="146" t="s">
        <v>361</v>
      </c>
      <c r="AS58" s="146" t="s">
        <v>361</v>
      </c>
      <c r="AT58" s="146" t="s">
        <v>361</v>
      </c>
      <c r="AU58" s="146" t="s">
        <v>361</v>
      </c>
      <c r="AV58" s="146" t="s">
        <v>361</v>
      </c>
      <c r="AW58" s="146" t="s">
        <v>361</v>
      </c>
      <c r="AX58" s="146" t="s">
        <v>361</v>
      </c>
      <c r="AY58" s="146" t="s">
        <v>361</v>
      </c>
      <c r="AZ58" s="146" t="s">
        <v>361</v>
      </c>
      <c r="BA58" s="146" t="s">
        <v>361</v>
      </c>
      <c r="BB58" s="146" t="s">
        <v>360</v>
      </c>
      <c r="BC58" s="146" t="s">
        <v>361</v>
      </c>
      <c r="BD58" s="146" t="s">
        <v>361</v>
      </c>
      <c r="BE58" s="146" t="s">
        <v>361</v>
      </c>
      <c r="BF58" s="146" t="s">
        <v>360</v>
      </c>
      <c r="BG58" s="146" t="s">
        <v>361</v>
      </c>
      <c r="BH58" s="146" t="s">
        <v>361</v>
      </c>
      <c r="BI58" s="146" t="s">
        <v>360</v>
      </c>
      <c r="BJ58" s="146" t="s">
        <v>361</v>
      </c>
      <c r="BK58" s="146" t="s">
        <v>361</v>
      </c>
      <c r="BL58" s="146" t="s">
        <v>361</v>
      </c>
      <c r="BM58" s="146" t="s">
        <v>361</v>
      </c>
      <c r="BN58" s="146" t="s">
        <v>361</v>
      </c>
      <c r="BO58" s="146" t="s">
        <v>361</v>
      </c>
      <c r="BP58" s="146" t="s">
        <v>361</v>
      </c>
      <c r="BQ58" s="146" t="s">
        <v>361</v>
      </c>
      <c r="BR58" s="146" t="s">
        <v>361</v>
      </c>
      <c r="BS58" s="146" t="s">
        <v>361</v>
      </c>
      <c r="BT58" s="146" t="s">
        <v>361</v>
      </c>
      <c r="BU58" s="146" t="s">
        <v>361</v>
      </c>
      <c r="BV58" s="146" t="s">
        <v>361</v>
      </c>
      <c r="BW58" s="146" t="s">
        <v>361</v>
      </c>
      <c r="BX58" s="146" t="s">
        <v>361</v>
      </c>
      <c r="BY58" s="146" t="s">
        <v>361</v>
      </c>
      <c r="BZ58" s="149" t="s">
        <v>361</v>
      </c>
    </row>
    <row r="59" spans="1:78" s="2" customFormat="1" x14ac:dyDescent="0.25">
      <c r="A59" s="181" t="s">
        <v>279</v>
      </c>
      <c r="B59" s="146" t="s">
        <v>361</v>
      </c>
      <c r="C59" s="146" t="s">
        <v>361</v>
      </c>
      <c r="D59" s="146" t="s">
        <v>361</v>
      </c>
      <c r="E59" s="146" t="s">
        <v>360</v>
      </c>
      <c r="F59" s="146" t="s">
        <v>361</v>
      </c>
      <c r="G59" s="146" t="s">
        <v>361</v>
      </c>
      <c r="H59" s="146" t="s">
        <v>361</v>
      </c>
      <c r="I59" s="146" t="s">
        <v>361</v>
      </c>
      <c r="J59" s="149" t="s">
        <v>361</v>
      </c>
      <c r="K59" s="181" t="s">
        <v>279</v>
      </c>
      <c r="L59" s="146" t="str">
        <f>LOOKUP($K59,PantheonList!$A$18:$A$139,PantheonList!$B$18:$B$139)</f>
        <v>Animal Ken</v>
      </c>
      <c r="M59" s="146" t="str">
        <f>LOOKUP($K59,PantheonList!$A$18:$A$139,PantheonList!$C$18:$C$139)</f>
        <v>Athletics</v>
      </c>
      <c r="N59" s="146" t="str">
        <f>LOOKUP($K59,PantheonList!$A$18:$A$139,PantheonList!$D$18:$D$139)</f>
        <v>Occult</v>
      </c>
      <c r="O59" s="146" t="str">
        <f>LOOKUP($K59,PantheonList!$A$18:$A$139,PantheonList!$E$18:$E$139)</f>
        <v>Presence</v>
      </c>
      <c r="P59" s="146" t="str">
        <f>LOOKUP($K59,PantheonList!$A$18:$A$139,PantheonList!$F$18:$F$139)</f>
        <v>Stealth</v>
      </c>
      <c r="Q59" s="146" t="str">
        <f>LOOKUP($K59,PantheonList!$A$18:$A$139,PantheonList!$G$18:$G$139)</f>
        <v>Survival</v>
      </c>
      <c r="R59" s="146" t="str">
        <f t="shared" si="10"/>
        <v>No</v>
      </c>
      <c r="S59" s="146" t="str">
        <f t="shared" si="10"/>
        <v>Yes</v>
      </c>
      <c r="T59" s="146" t="str">
        <f t="shared" si="10"/>
        <v>No</v>
      </c>
      <c r="U59" s="146" t="str">
        <f t="shared" si="10"/>
        <v>Yes</v>
      </c>
      <c r="V59" s="146" t="str">
        <f t="shared" si="10"/>
        <v>No</v>
      </c>
      <c r="W59" s="146" t="str">
        <f t="shared" si="10"/>
        <v>No</v>
      </c>
      <c r="X59" s="146" t="str">
        <f t="shared" si="10"/>
        <v>No</v>
      </c>
      <c r="Y59" s="146" t="str">
        <f t="shared" si="10"/>
        <v>No</v>
      </c>
      <c r="Z59" s="146" t="str">
        <f t="shared" si="10"/>
        <v>No</v>
      </c>
      <c r="AA59" s="146" t="str">
        <f t="shared" si="10"/>
        <v>No</v>
      </c>
      <c r="AB59" s="146" t="str">
        <f t="shared" si="11"/>
        <v>No</v>
      </c>
      <c r="AC59" s="146" t="str">
        <f t="shared" si="11"/>
        <v>No</v>
      </c>
      <c r="AD59" s="146" t="str">
        <f t="shared" si="11"/>
        <v>No</v>
      </c>
      <c r="AE59" s="146" t="str">
        <f t="shared" si="11"/>
        <v>No</v>
      </c>
      <c r="AF59" s="146" t="str">
        <f t="shared" si="11"/>
        <v>No</v>
      </c>
      <c r="AG59" s="146" t="str">
        <f t="shared" si="11"/>
        <v>No</v>
      </c>
      <c r="AH59" s="146" t="str">
        <f t="shared" si="11"/>
        <v>No</v>
      </c>
      <c r="AI59" s="146" t="str">
        <f t="shared" si="11"/>
        <v>Yes</v>
      </c>
      <c r="AJ59" s="146" t="str">
        <f t="shared" si="11"/>
        <v>No</v>
      </c>
      <c r="AK59" s="146" t="str">
        <f t="shared" si="11"/>
        <v>Yes</v>
      </c>
      <c r="AL59" s="146" t="str">
        <f t="shared" si="11"/>
        <v>No</v>
      </c>
      <c r="AM59" s="146" t="str">
        <f t="shared" si="11"/>
        <v>Yes</v>
      </c>
      <c r="AN59" s="146" t="str">
        <f t="shared" si="11"/>
        <v>Yes</v>
      </c>
      <c r="AO59" s="149" t="str">
        <f t="shared" si="11"/>
        <v>No</v>
      </c>
      <c r="AP59" s="181" t="s">
        <v>279</v>
      </c>
      <c r="AQ59" s="146">
        <v>59</v>
      </c>
      <c r="AR59" s="146" t="s">
        <v>361</v>
      </c>
      <c r="AS59" s="146" t="s">
        <v>361</v>
      </c>
      <c r="AT59" s="146" t="s">
        <v>361</v>
      </c>
      <c r="AU59" s="146" t="s">
        <v>360</v>
      </c>
      <c r="AV59" s="146" t="s">
        <v>360</v>
      </c>
      <c r="AW59" s="146" t="s">
        <v>361</v>
      </c>
      <c r="AX59" s="146" t="s">
        <v>360</v>
      </c>
      <c r="AY59" s="146" t="s">
        <v>361</v>
      </c>
      <c r="AZ59" s="146" t="s">
        <v>361</v>
      </c>
      <c r="BA59" s="146" t="s">
        <v>361</v>
      </c>
      <c r="BB59" s="146" t="s">
        <v>361</v>
      </c>
      <c r="BC59" s="146" t="s">
        <v>361</v>
      </c>
      <c r="BD59" s="146" t="s">
        <v>361</v>
      </c>
      <c r="BE59" s="146" t="s">
        <v>361</v>
      </c>
      <c r="BF59" s="146" t="s">
        <v>361</v>
      </c>
      <c r="BG59" s="146" t="s">
        <v>361</v>
      </c>
      <c r="BH59" s="146" t="s">
        <v>361</v>
      </c>
      <c r="BI59" s="146" t="s">
        <v>361</v>
      </c>
      <c r="BJ59" s="146" t="s">
        <v>361</v>
      </c>
      <c r="BK59" s="146" t="s">
        <v>361</v>
      </c>
      <c r="BL59" s="146" t="s">
        <v>361</v>
      </c>
      <c r="BM59" s="146" t="s">
        <v>360</v>
      </c>
      <c r="BN59" s="146" t="s">
        <v>360</v>
      </c>
      <c r="BO59" s="146" t="s">
        <v>361</v>
      </c>
      <c r="BP59" s="146" t="s">
        <v>361</v>
      </c>
      <c r="BQ59" s="146" t="s">
        <v>361</v>
      </c>
      <c r="BR59" s="146" t="s">
        <v>361</v>
      </c>
      <c r="BS59" s="146" t="s">
        <v>361</v>
      </c>
      <c r="BT59" s="146" t="s">
        <v>361</v>
      </c>
      <c r="BU59" s="146" t="s">
        <v>361</v>
      </c>
      <c r="BV59" s="146" t="s">
        <v>361</v>
      </c>
      <c r="BW59" s="146" t="s">
        <v>361</v>
      </c>
      <c r="BX59" s="146" t="s">
        <v>361</v>
      </c>
      <c r="BY59" s="146" t="s">
        <v>361</v>
      </c>
      <c r="BZ59" s="149" t="s">
        <v>361</v>
      </c>
    </row>
    <row r="60" spans="1:78" s="2" customFormat="1" x14ac:dyDescent="0.25">
      <c r="A60" s="181" t="s">
        <v>253</v>
      </c>
      <c r="B60" s="146" t="s">
        <v>360</v>
      </c>
      <c r="C60" s="146" t="s">
        <v>361</v>
      </c>
      <c r="D60" s="146" t="s">
        <v>361</v>
      </c>
      <c r="E60" s="146" t="s">
        <v>361</v>
      </c>
      <c r="F60" s="146" t="s">
        <v>361</v>
      </c>
      <c r="G60" s="146" t="s">
        <v>360</v>
      </c>
      <c r="H60" s="146" t="s">
        <v>361</v>
      </c>
      <c r="I60" s="146" t="s">
        <v>361</v>
      </c>
      <c r="J60" s="149" t="s">
        <v>361</v>
      </c>
      <c r="K60" s="181" t="s">
        <v>253</v>
      </c>
      <c r="L60" s="146" t="str">
        <f>LOOKUP($K60,PantheonList!$A$18:$A$139,PantheonList!$B$18:$B$139)</f>
        <v>Awareness</v>
      </c>
      <c r="M60" s="146" t="str">
        <f>LOOKUP($K60,PantheonList!$A$18:$A$139,PantheonList!$C$18:$C$139)</f>
        <v>Brawl</v>
      </c>
      <c r="N60" s="146" t="str">
        <f>LOOKUP($K60,PantheonList!$A$18:$A$139,PantheonList!$D$18:$D$139)</f>
        <v>Fortitude</v>
      </c>
      <c r="O60" s="146" t="str">
        <f>LOOKUP($K60,PantheonList!$A$18:$A$139,PantheonList!$E$18:$E$139)</f>
        <v>Melee</v>
      </c>
      <c r="P60" s="146" t="str">
        <f>LOOKUP($K60,PantheonList!$A$18:$A$139,PantheonList!$F$18:$F$139)</f>
        <v>Occult</v>
      </c>
      <c r="Q60" s="146" t="str">
        <f>LOOKUP($K60,PantheonList!$A$18:$A$139,PantheonList!$G$18:$G$139)</f>
        <v>Presence</v>
      </c>
      <c r="R60" s="146" t="str">
        <f t="shared" si="10"/>
        <v>No</v>
      </c>
      <c r="S60" s="146" t="str">
        <f t="shared" si="10"/>
        <v>No</v>
      </c>
      <c r="T60" s="146" t="str">
        <f t="shared" si="10"/>
        <v>No</v>
      </c>
      <c r="U60" s="146" t="str">
        <f t="shared" si="10"/>
        <v>No</v>
      </c>
      <c r="V60" s="146" t="str">
        <f t="shared" si="10"/>
        <v>Yes</v>
      </c>
      <c r="W60" s="146" t="str">
        <f t="shared" si="10"/>
        <v>Yes</v>
      </c>
      <c r="X60" s="146" t="str">
        <f t="shared" si="10"/>
        <v>No</v>
      </c>
      <c r="Y60" s="146" t="str">
        <f t="shared" si="10"/>
        <v>No</v>
      </c>
      <c r="Z60" s="146" t="str">
        <f t="shared" si="10"/>
        <v>No</v>
      </c>
      <c r="AA60" s="146" t="str">
        <f t="shared" si="10"/>
        <v>No</v>
      </c>
      <c r="AB60" s="146" t="str">
        <f t="shared" si="11"/>
        <v>Yes</v>
      </c>
      <c r="AC60" s="146" t="str">
        <f t="shared" si="11"/>
        <v>No</v>
      </c>
      <c r="AD60" s="146" t="str">
        <f t="shared" si="11"/>
        <v>No</v>
      </c>
      <c r="AE60" s="146" t="str">
        <f t="shared" si="11"/>
        <v>No</v>
      </c>
      <c r="AF60" s="146" t="str">
        <f t="shared" si="11"/>
        <v>No</v>
      </c>
      <c r="AG60" s="146" t="str">
        <f t="shared" si="11"/>
        <v>No</v>
      </c>
      <c r="AH60" s="146" t="str">
        <f t="shared" si="11"/>
        <v>Yes</v>
      </c>
      <c r="AI60" s="146" t="str">
        <f t="shared" si="11"/>
        <v>Yes</v>
      </c>
      <c r="AJ60" s="146" t="str">
        <f t="shared" si="11"/>
        <v>No</v>
      </c>
      <c r="AK60" s="146" t="str">
        <f t="shared" si="11"/>
        <v>Yes</v>
      </c>
      <c r="AL60" s="146" t="str">
        <f t="shared" si="11"/>
        <v>No</v>
      </c>
      <c r="AM60" s="146" t="str">
        <f t="shared" si="11"/>
        <v>No</v>
      </c>
      <c r="AN60" s="146" t="str">
        <f t="shared" si="11"/>
        <v>No</v>
      </c>
      <c r="AO60" s="149" t="str">
        <f t="shared" si="11"/>
        <v>No</v>
      </c>
      <c r="AP60" s="181" t="s">
        <v>253</v>
      </c>
      <c r="AQ60" s="146">
        <v>60</v>
      </c>
      <c r="AR60" s="146" t="s">
        <v>361</v>
      </c>
      <c r="AS60" s="146" t="s">
        <v>361</v>
      </c>
      <c r="AT60" s="146" t="s">
        <v>361</v>
      </c>
      <c r="AU60" s="146" t="s">
        <v>360</v>
      </c>
      <c r="AV60" s="146" t="s">
        <v>361</v>
      </c>
      <c r="AW60" s="146" t="s">
        <v>361</v>
      </c>
      <c r="AX60" s="146" t="s">
        <v>360</v>
      </c>
      <c r="AY60" s="146" t="s">
        <v>360</v>
      </c>
      <c r="AZ60" s="146" t="s">
        <v>361</v>
      </c>
      <c r="BA60" s="146" t="s">
        <v>361</v>
      </c>
      <c r="BB60" s="146" t="s">
        <v>361</v>
      </c>
      <c r="BC60" s="146" t="s">
        <v>361</v>
      </c>
      <c r="BD60" s="146" t="s">
        <v>361</v>
      </c>
      <c r="BE60" s="146" t="s">
        <v>361</v>
      </c>
      <c r="BF60" s="146" t="s">
        <v>361</v>
      </c>
      <c r="BG60" s="146" t="s">
        <v>361</v>
      </c>
      <c r="BH60" s="146" t="s">
        <v>361</v>
      </c>
      <c r="BI60" s="146" t="s">
        <v>361</v>
      </c>
      <c r="BJ60" s="146" t="s">
        <v>361</v>
      </c>
      <c r="BK60" s="146" t="s">
        <v>361</v>
      </c>
      <c r="BL60" s="146" t="s">
        <v>361</v>
      </c>
      <c r="BM60" s="146" t="s">
        <v>361</v>
      </c>
      <c r="BN60" s="146" t="s">
        <v>361</v>
      </c>
      <c r="BO60" s="146" t="s">
        <v>361</v>
      </c>
      <c r="BP60" s="146" t="s">
        <v>361</v>
      </c>
      <c r="BQ60" s="146" t="s">
        <v>361</v>
      </c>
      <c r="BR60" s="146" t="s">
        <v>360</v>
      </c>
      <c r="BS60" s="146" t="s">
        <v>361</v>
      </c>
      <c r="BT60" s="146" t="s">
        <v>361</v>
      </c>
      <c r="BU60" s="146" t="s">
        <v>361</v>
      </c>
      <c r="BV60" s="146" t="s">
        <v>361</v>
      </c>
      <c r="BW60" s="146" t="s">
        <v>361</v>
      </c>
      <c r="BX60" s="146" t="s">
        <v>361</v>
      </c>
      <c r="BY60" s="146" t="s">
        <v>360</v>
      </c>
      <c r="BZ60" s="149" t="s">
        <v>361</v>
      </c>
    </row>
    <row r="61" spans="1:78" s="2" customFormat="1" x14ac:dyDescent="0.25">
      <c r="A61" s="181" t="s">
        <v>325</v>
      </c>
      <c r="B61" s="146" t="s">
        <v>361</v>
      </c>
      <c r="C61" s="146" t="s">
        <v>361</v>
      </c>
      <c r="D61" s="146" t="s">
        <v>361</v>
      </c>
      <c r="E61" s="146" t="s">
        <v>360</v>
      </c>
      <c r="F61" s="146" t="s">
        <v>361</v>
      </c>
      <c r="G61" s="146" t="s">
        <v>361</v>
      </c>
      <c r="H61" s="146" t="s">
        <v>361</v>
      </c>
      <c r="I61" s="146" t="s">
        <v>360</v>
      </c>
      <c r="J61" s="149" t="s">
        <v>361</v>
      </c>
      <c r="K61" s="181" t="s">
        <v>325</v>
      </c>
      <c r="L61" s="146" t="str">
        <f>LOOKUP($K61,PantheonList!$A$18:$A$139,PantheonList!$B$18:$B$139)</f>
        <v>Academics</v>
      </c>
      <c r="M61" s="146" t="str">
        <f>LOOKUP($K61,PantheonList!$A$18:$A$139,PantheonList!$C$18:$C$139)</f>
        <v>Awareness</v>
      </c>
      <c r="N61" s="146" t="str">
        <f>LOOKUP($K61,PantheonList!$A$18:$A$139,PantheonList!$D$18:$D$139)</f>
        <v>Command</v>
      </c>
      <c r="O61" s="146" t="str">
        <f>LOOKUP($K61,PantheonList!$A$18:$A$139,PantheonList!$E$18:$E$139)</f>
        <v>Integrity</v>
      </c>
      <c r="P61" s="146" t="str">
        <f>LOOKUP($K61,PantheonList!$A$18:$A$139,PantheonList!$F$18:$F$139)</f>
        <v>Politics</v>
      </c>
      <c r="Q61" s="146" t="str">
        <f>LOOKUP($K61,PantheonList!$A$18:$A$139,PantheonList!$G$18:$G$139)</f>
        <v>Presence</v>
      </c>
      <c r="R61" s="146" t="str">
        <f t="shared" si="10"/>
        <v>Yes</v>
      </c>
      <c r="S61" s="146" t="str">
        <f t="shared" si="10"/>
        <v>No</v>
      </c>
      <c r="T61" s="146" t="str">
        <f t="shared" si="10"/>
        <v>No</v>
      </c>
      <c r="U61" s="146" t="str">
        <f t="shared" si="10"/>
        <v>No</v>
      </c>
      <c r="V61" s="146" t="str">
        <f t="shared" si="10"/>
        <v>Yes</v>
      </c>
      <c r="W61" s="146" t="str">
        <f t="shared" si="10"/>
        <v>No</v>
      </c>
      <c r="X61" s="146" t="str">
        <f t="shared" si="10"/>
        <v>Yes</v>
      </c>
      <c r="Y61" s="146" t="str">
        <f t="shared" si="10"/>
        <v>No</v>
      </c>
      <c r="Z61" s="146" t="str">
        <f t="shared" si="10"/>
        <v>No</v>
      </c>
      <c r="AA61" s="146" t="str">
        <f t="shared" si="10"/>
        <v>No</v>
      </c>
      <c r="AB61" s="146" t="str">
        <f t="shared" si="11"/>
        <v>No</v>
      </c>
      <c r="AC61" s="146" t="str">
        <f t="shared" si="11"/>
        <v>Yes</v>
      </c>
      <c r="AD61" s="146" t="str">
        <f t="shared" si="11"/>
        <v>No</v>
      </c>
      <c r="AE61" s="146" t="str">
        <f t="shared" si="11"/>
        <v>No</v>
      </c>
      <c r="AF61" s="146" t="str">
        <f t="shared" si="11"/>
        <v>No</v>
      </c>
      <c r="AG61" s="146" t="str">
        <f t="shared" si="11"/>
        <v>No</v>
      </c>
      <c r="AH61" s="146" t="str">
        <f t="shared" si="11"/>
        <v>No</v>
      </c>
      <c r="AI61" s="146" t="str">
        <f t="shared" si="11"/>
        <v>No</v>
      </c>
      <c r="AJ61" s="146" t="str">
        <f t="shared" si="11"/>
        <v>Yes</v>
      </c>
      <c r="AK61" s="146" t="str">
        <f t="shared" si="11"/>
        <v>Yes</v>
      </c>
      <c r="AL61" s="146" t="str">
        <f t="shared" si="11"/>
        <v>No</v>
      </c>
      <c r="AM61" s="146" t="str">
        <f t="shared" si="11"/>
        <v>No</v>
      </c>
      <c r="AN61" s="146" t="str">
        <f t="shared" si="11"/>
        <v>No</v>
      </c>
      <c r="AO61" s="149" t="str">
        <f t="shared" si="11"/>
        <v>No</v>
      </c>
      <c r="AP61" s="181" t="s">
        <v>325</v>
      </c>
      <c r="AQ61" s="146">
        <v>61</v>
      </c>
      <c r="AR61" s="146" t="s">
        <v>360</v>
      </c>
      <c r="AS61" s="146" t="s">
        <v>361</v>
      </c>
      <c r="AT61" s="146" t="s">
        <v>361</v>
      </c>
      <c r="AU61" s="146" t="s">
        <v>361</v>
      </c>
      <c r="AV61" s="146" t="s">
        <v>361</v>
      </c>
      <c r="AW61" s="146" t="s">
        <v>360</v>
      </c>
      <c r="AX61" s="146" t="s">
        <v>361</v>
      </c>
      <c r="AY61" s="146" t="s">
        <v>361</v>
      </c>
      <c r="AZ61" s="146" t="s">
        <v>361</v>
      </c>
      <c r="BA61" s="146" t="s">
        <v>361</v>
      </c>
      <c r="BB61" s="146" t="s">
        <v>361</v>
      </c>
      <c r="BC61" s="146" t="s">
        <v>361</v>
      </c>
      <c r="BD61" s="146" t="s">
        <v>361</v>
      </c>
      <c r="BE61" s="146" t="s">
        <v>360</v>
      </c>
      <c r="BF61" s="146" t="s">
        <v>361</v>
      </c>
      <c r="BG61" s="146" t="s">
        <v>361</v>
      </c>
      <c r="BH61" s="146" t="s">
        <v>361</v>
      </c>
      <c r="BI61" s="146" t="s">
        <v>361</v>
      </c>
      <c r="BJ61" s="146" t="s">
        <v>361</v>
      </c>
      <c r="BK61" s="146" t="s">
        <v>361</v>
      </c>
      <c r="BL61" s="146" t="s">
        <v>360</v>
      </c>
      <c r="BM61" s="146" t="s">
        <v>361</v>
      </c>
      <c r="BN61" s="146" t="s">
        <v>361</v>
      </c>
      <c r="BO61" s="146" t="s">
        <v>361</v>
      </c>
      <c r="BP61" s="146" t="s">
        <v>361</v>
      </c>
      <c r="BQ61" s="146" t="s">
        <v>361</v>
      </c>
      <c r="BR61" s="146" t="s">
        <v>361</v>
      </c>
      <c r="BS61" s="146" t="s">
        <v>361</v>
      </c>
      <c r="BT61" s="146" t="s">
        <v>361</v>
      </c>
      <c r="BU61" s="146" t="s">
        <v>361</v>
      </c>
      <c r="BV61" s="146" t="s">
        <v>361</v>
      </c>
      <c r="BW61" s="146" t="s">
        <v>361</v>
      </c>
      <c r="BX61" s="146" t="s">
        <v>361</v>
      </c>
      <c r="BY61" s="146" t="s">
        <v>361</v>
      </c>
      <c r="BZ61" s="149" t="s">
        <v>360</v>
      </c>
    </row>
    <row r="62" spans="1:78" s="2" customFormat="1" x14ac:dyDescent="0.25">
      <c r="A62" s="181" t="s">
        <v>254</v>
      </c>
      <c r="B62" s="146" t="s">
        <v>361</v>
      </c>
      <c r="C62" s="146" t="s">
        <v>361</v>
      </c>
      <c r="D62" s="146" t="s">
        <v>361</v>
      </c>
      <c r="E62" s="146" t="s">
        <v>361</v>
      </c>
      <c r="F62" s="146" t="s">
        <v>361</v>
      </c>
      <c r="G62" s="146" t="s">
        <v>360</v>
      </c>
      <c r="H62" s="146" t="s">
        <v>361</v>
      </c>
      <c r="I62" s="146" t="s">
        <v>361</v>
      </c>
      <c r="J62" s="149" t="s">
        <v>361</v>
      </c>
      <c r="K62" s="181" t="s">
        <v>254</v>
      </c>
      <c r="L62" s="146" t="str">
        <f>LOOKUP($K62,PantheonList!$A$18:$A$139,PantheonList!$B$18:$B$139)</f>
        <v>Awareness</v>
      </c>
      <c r="M62" s="146" t="str">
        <f>LOOKUP($K62,PantheonList!$A$18:$A$139,PantheonList!$C$18:$C$139)</f>
        <v>Empathy</v>
      </c>
      <c r="N62" s="146" t="str">
        <f>LOOKUP($K62,PantheonList!$A$18:$A$139,PantheonList!$D$18:$D$139)</f>
        <v>Integrity</v>
      </c>
      <c r="O62" s="146" t="str">
        <f>LOOKUP($K62,PantheonList!$A$18:$A$139,PantheonList!$E$18:$E$139)</f>
        <v>Politics</v>
      </c>
      <c r="P62" s="146" t="str">
        <f>LOOKUP($K62,PantheonList!$A$18:$A$139,PantheonList!$F$18:$F$139)</f>
        <v>Presence</v>
      </c>
      <c r="Q62" s="146" t="str">
        <f>LOOKUP($K62,PantheonList!$A$18:$A$139,PantheonList!$G$18:$G$139)</f>
        <v>Thrown</v>
      </c>
      <c r="R62" s="146" t="str">
        <f t="shared" ref="R62:AA71" si="12">IF(OR($Q62=R$1,$P62=R$1,$O62=R$1,$N62=R$1,$M62=R$1,$L62=R$1),"Yes","No")</f>
        <v>No</v>
      </c>
      <c r="S62" s="146" t="str">
        <f t="shared" si="12"/>
        <v>No</v>
      </c>
      <c r="T62" s="146" t="str">
        <f t="shared" si="12"/>
        <v>No</v>
      </c>
      <c r="U62" s="146" t="str">
        <f t="shared" si="12"/>
        <v>No</v>
      </c>
      <c r="V62" s="146" t="str">
        <f t="shared" si="12"/>
        <v>Yes</v>
      </c>
      <c r="W62" s="146" t="str">
        <f t="shared" si="12"/>
        <v>No</v>
      </c>
      <c r="X62" s="146" t="str">
        <f t="shared" si="12"/>
        <v>No</v>
      </c>
      <c r="Y62" s="146" t="str">
        <f t="shared" si="12"/>
        <v>No</v>
      </c>
      <c r="Z62" s="146" t="str">
        <f t="shared" si="12"/>
        <v>No</v>
      </c>
      <c r="AA62" s="146" t="str">
        <f t="shared" si="12"/>
        <v>Yes</v>
      </c>
      <c r="AB62" s="146" t="str">
        <f t="shared" ref="AB62:AO71" si="13">IF(OR($Q62=AB$1,$P62=AB$1,$O62=AB$1,$N62=AB$1,$M62=AB$1,$L62=AB$1),"Yes","No")</f>
        <v>No</v>
      </c>
      <c r="AC62" s="146" t="str">
        <f t="shared" si="13"/>
        <v>Yes</v>
      </c>
      <c r="AD62" s="146" t="str">
        <f t="shared" si="13"/>
        <v>No</v>
      </c>
      <c r="AE62" s="146" t="str">
        <f t="shared" si="13"/>
        <v>No</v>
      </c>
      <c r="AF62" s="146" t="str">
        <f t="shared" si="13"/>
        <v>No</v>
      </c>
      <c r="AG62" s="146" t="str">
        <f t="shared" si="13"/>
        <v>No</v>
      </c>
      <c r="AH62" s="146" t="str">
        <f t="shared" si="13"/>
        <v>No</v>
      </c>
      <c r="AI62" s="146" t="str">
        <f t="shared" si="13"/>
        <v>No</v>
      </c>
      <c r="AJ62" s="146" t="str">
        <f t="shared" si="13"/>
        <v>Yes</v>
      </c>
      <c r="AK62" s="146" t="str">
        <f t="shared" si="13"/>
        <v>Yes</v>
      </c>
      <c r="AL62" s="146" t="str">
        <f t="shared" si="13"/>
        <v>No</v>
      </c>
      <c r="AM62" s="146" t="str">
        <f t="shared" si="13"/>
        <v>No</v>
      </c>
      <c r="AN62" s="146" t="str">
        <f t="shared" si="13"/>
        <v>No</v>
      </c>
      <c r="AO62" s="149" t="str">
        <f t="shared" si="13"/>
        <v>Yes</v>
      </c>
      <c r="AP62" s="181" t="s">
        <v>254</v>
      </c>
      <c r="AQ62" s="146">
        <v>62</v>
      </c>
      <c r="AR62" s="146" t="s">
        <v>361</v>
      </c>
      <c r="AS62" s="146" t="s">
        <v>361</v>
      </c>
      <c r="AT62" s="146" t="s">
        <v>361</v>
      </c>
      <c r="AU62" s="146" t="s">
        <v>361</v>
      </c>
      <c r="AV62" s="146" t="s">
        <v>361</v>
      </c>
      <c r="AW62" s="146" t="s">
        <v>361</v>
      </c>
      <c r="AX62" s="146" t="s">
        <v>361</v>
      </c>
      <c r="AY62" s="146" t="s">
        <v>361</v>
      </c>
      <c r="AZ62" s="146" t="s">
        <v>361</v>
      </c>
      <c r="BA62" s="146" t="s">
        <v>361</v>
      </c>
      <c r="BB62" s="146" t="s">
        <v>360</v>
      </c>
      <c r="BC62" s="146" t="s">
        <v>361</v>
      </c>
      <c r="BD62" s="146" t="s">
        <v>361</v>
      </c>
      <c r="BE62" s="146" t="s">
        <v>360</v>
      </c>
      <c r="BF62" s="146" t="s">
        <v>360</v>
      </c>
      <c r="BG62" s="146" t="s">
        <v>361</v>
      </c>
      <c r="BH62" s="146" t="s">
        <v>361</v>
      </c>
      <c r="BI62" s="146" t="s">
        <v>361</v>
      </c>
      <c r="BJ62" s="146" t="s">
        <v>361</v>
      </c>
      <c r="BK62" s="146" t="s">
        <v>361</v>
      </c>
      <c r="BL62" s="146" t="s">
        <v>361</v>
      </c>
      <c r="BM62" s="146" t="s">
        <v>361</v>
      </c>
      <c r="BN62" s="146" t="s">
        <v>360</v>
      </c>
      <c r="BO62" s="146" t="s">
        <v>360</v>
      </c>
      <c r="BP62" s="146" t="s">
        <v>361</v>
      </c>
      <c r="BQ62" s="146" t="s">
        <v>360</v>
      </c>
      <c r="BR62" s="146" t="s">
        <v>360</v>
      </c>
      <c r="BS62" s="146" t="s">
        <v>361</v>
      </c>
      <c r="BT62" s="146" t="s">
        <v>361</v>
      </c>
      <c r="BU62" s="146" t="s">
        <v>361</v>
      </c>
      <c r="BV62" s="146" t="s">
        <v>361</v>
      </c>
      <c r="BW62" s="146" t="s">
        <v>361</v>
      </c>
      <c r="BX62" s="146" t="s">
        <v>361</v>
      </c>
      <c r="BY62" s="146" t="s">
        <v>361</v>
      </c>
      <c r="BZ62" s="149" t="s">
        <v>360</v>
      </c>
    </row>
    <row r="63" spans="1:78" s="2" customFormat="1" x14ac:dyDescent="0.25">
      <c r="A63" s="181" t="s">
        <v>280</v>
      </c>
      <c r="B63" s="146" t="s">
        <v>361</v>
      </c>
      <c r="C63" s="146" t="s">
        <v>361</v>
      </c>
      <c r="D63" s="146" t="s">
        <v>361</v>
      </c>
      <c r="E63" s="146" t="s">
        <v>360</v>
      </c>
      <c r="F63" s="146" t="s">
        <v>361</v>
      </c>
      <c r="G63" s="146" t="s">
        <v>361</v>
      </c>
      <c r="H63" s="146" t="s">
        <v>361</v>
      </c>
      <c r="I63" s="146" t="s">
        <v>361</v>
      </c>
      <c r="J63" s="149" t="s">
        <v>360</v>
      </c>
      <c r="K63" s="181" t="s">
        <v>280</v>
      </c>
      <c r="L63" s="146" t="str">
        <f>LOOKUP($K63,PantheonList!$A$18:$A$139,PantheonList!$B$18:$B$139)</f>
        <v>Command</v>
      </c>
      <c r="M63" s="146" t="str">
        <f>LOOKUP($K63,PantheonList!$A$18:$A$139,PantheonList!$C$18:$C$139)</f>
        <v>Empathy</v>
      </c>
      <c r="N63" s="146" t="str">
        <f>LOOKUP($K63,PantheonList!$A$18:$A$139,PantheonList!$D$18:$D$139)</f>
        <v>Integrity</v>
      </c>
      <c r="O63" s="146" t="str">
        <f>LOOKUP($K63,PantheonList!$A$18:$A$139,PantheonList!$E$18:$E$139)</f>
        <v>Larceny</v>
      </c>
      <c r="P63" s="146" t="str">
        <f>LOOKUP($K63,PantheonList!$A$18:$A$139,PantheonList!$F$18:$F$139)</f>
        <v>Occult</v>
      </c>
      <c r="Q63" s="146" t="str">
        <f>LOOKUP($K63,PantheonList!$A$18:$A$139,PantheonList!$G$18:$G$139)</f>
        <v>Politics</v>
      </c>
      <c r="R63" s="146" t="str">
        <f t="shared" si="12"/>
        <v>No</v>
      </c>
      <c r="S63" s="146" t="str">
        <f t="shared" si="12"/>
        <v>No</v>
      </c>
      <c r="T63" s="146" t="str">
        <f t="shared" si="12"/>
        <v>No</v>
      </c>
      <c r="U63" s="146" t="str">
        <f t="shared" si="12"/>
        <v>No</v>
      </c>
      <c r="V63" s="146" t="str">
        <f t="shared" si="12"/>
        <v>No</v>
      </c>
      <c r="W63" s="146" t="str">
        <f t="shared" si="12"/>
        <v>No</v>
      </c>
      <c r="X63" s="146" t="str">
        <f t="shared" si="12"/>
        <v>Yes</v>
      </c>
      <c r="Y63" s="146" t="str">
        <f t="shared" si="12"/>
        <v>No</v>
      </c>
      <c r="Z63" s="146" t="str">
        <f t="shared" si="12"/>
        <v>No</v>
      </c>
      <c r="AA63" s="146" t="str">
        <f t="shared" si="12"/>
        <v>Yes</v>
      </c>
      <c r="AB63" s="146" t="str">
        <f t="shared" si="13"/>
        <v>No</v>
      </c>
      <c r="AC63" s="146" t="str">
        <f t="shared" si="13"/>
        <v>Yes</v>
      </c>
      <c r="AD63" s="146" t="str">
        <f t="shared" si="13"/>
        <v>No</v>
      </c>
      <c r="AE63" s="146" t="str">
        <f t="shared" si="13"/>
        <v>Yes</v>
      </c>
      <c r="AF63" s="146" t="str">
        <f t="shared" si="13"/>
        <v>No</v>
      </c>
      <c r="AG63" s="146" t="str">
        <f t="shared" si="13"/>
        <v>No</v>
      </c>
      <c r="AH63" s="146" t="str">
        <f t="shared" si="13"/>
        <v>No</v>
      </c>
      <c r="AI63" s="146" t="str">
        <f t="shared" si="13"/>
        <v>Yes</v>
      </c>
      <c r="AJ63" s="146" t="str">
        <f t="shared" si="13"/>
        <v>Yes</v>
      </c>
      <c r="AK63" s="146" t="str">
        <f t="shared" si="13"/>
        <v>No</v>
      </c>
      <c r="AL63" s="146" t="str">
        <f t="shared" si="13"/>
        <v>No</v>
      </c>
      <c r="AM63" s="146" t="str">
        <f t="shared" si="13"/>
        <v>No</v>
      </c>
      <c r="AN63" s="146" t="str">
        <f t="shared" si="13"/>
        <v>No</v>
      </c>
      <c r="AO63" s="149" t="str">
        <f t="shared" si="13"/>
        <v>No</v>
      </c>
      <c r="AP63" s="181" t="s">
        <v>280</v>
      </c>
      <c r="AQ63" s="146">
        <v>63</v>
      </c>
      <c r="AR63" s="146" t="s">
        <v>361</v>
      </c>
      <c r="AS63" s="146" t="s">
        <v>361</v>
      </c>
      <c r="AT63" s="146" t="s">
        <v>361</v>
      </c>
      <c r="AU63" s="146" t="s">
        <v>361</v>
      </c>
      <c r="AV63" s="146" t="s">
        <v>360</v>
      </c>
      <c r="AW63" s="146" t="s">
        <v>361</v>
      </c>
      <c r="AX63" s="146" t="s">
        <v>361</v>
      </c>
      <c r="AY63" s="146" t="s">
        <v>361</v>
      </c>
      <c r="AZ63" s="146" t="s">
        <v>361</v>
      </c>
      <c r="BA63" s="146" t="s">
        <v>361</v>
      </c>
      <c r="BB63" s="146" t="s">
        <v>361</v>
      </c>
      <c r="BC63" s="146" t="s">
        <v>361</v>
      </c>
      <c r="BD63" s="146" t="s">
        <v>361</v>
      </c>
      <c r="BE63" s="146" t="s">
        <v>361</v>
      </c>
      <c r="BF63" s="146" t="s">
        <v>361</v>
      </c>
      <c r="BG63" s="146" t="s">
        <v>361</v>
      </c>
      <c r="BH63" s="146" t="s">
        <v>361</v>
      </c>
      <c r="BI63" s="146" t="s">
        <v>361</v>
      </c>
      <c r="BJ63" s="146" t="s">
        <v>361</v>
      </c>
      <c r="BK63" s="146" t="s">
        <v>361</v>
      </c>
      <c r="BL63" s="146" t="s">
        <v>361</v>
      </c>
      <c r="BM63" s="146" t="s">
        <v>361</v>
      </c>
      <c r="BN63" s="146" t="s">
        <v>361</v>
      </c>
      <c r="BO63" s="146" t="s">
        <v>361</v>
      </c>
      <c r="BP63" s="146" t="s">
        <v>360</v>
      </c>
      <c r="BQ63" s="146" t="s">
        <v>360</v>
      </c>
      <c r="BR63" s="146" t="s">
        <v>361</v>
      </c>
      <c r="BS63" s="146" t="s">
        <v>361</v>
      </c>
      <c r="BT63" s="146" t="s">
        <v>361</v>
      </c>
      <c r="BU63" s="146" t="s">
        <v>361</v>
      </c>
      <c r="BV63" s="146" t="s">
        <v>360</v>
      </c>
      <c r="BW63" s="146" t="s">
        <v>361</v>
      </c>
      <c r="BX63" s="146" t="s">
        <v>361</v>
      </c>
      <c r="BY63" s="146" t="s">
        <v>361</v>
      </c>
      <c r="BZ63" s="149" t="s">
        <v>361</v>
      </c>
    </row>
    <row r="64" spans="1:78" s="2" customFormat="1" x14ac:dyDescent="0.25">
      <c r="A64" s="181" t="s">
        <v>211</v>
      </c>
      <c r="B64" s="146" t="s">
        <v>361</v>
      </c>
      <c r="C64" s="146" t="s">
        <v>361</v>
      </c>
      <c r="D64" s="146" t="s">
        <v>361</v>
      </c>
      <c r="E64" s="146" t="s">
        <v>361</v>
      </c>
      <c r="F64" s="146" t="s">
        <v>360</v>
      </c>
      <c r="G64" s="146" t="s">
        <v>361</v>
      </c>
      <c r="H64" s="146" t="s">
        <v>360</v>
      </c>
      <c r="I64" s="146" t="s">
        <v>361</v>
      </c>
      <c r="J64" s="149" t="s">
        <v>360</v>
      </c>
      <c r="K64" s="181" t="s">
        <v>211</v>
      </c>
      <c r="L64" s="146" t="str">
        <f>LOOKUP($K64,PantheonList!$A$18:$A$139,PantheonList!$B$18:$B$139)</f>
        <v>Brawl</v>
      </c>
      <c r="M64" s="146" t="str">
        <f>LOOKUP($K64,PantheonList!$A$18:$A$139,PantheonList!$C$18:$C$139)</f>
        <v>Empathy</v>
      </c>
      <c r="N64" s="146" t="str">
        <f>LOOKUP($K64,PantheonList!$A$18:$A$139,PantheonList!$D$18:$D$139)</f>
        <v>Larceny</v>
      </c>
      <c r="O64" s="146" t="str">
        <f>LOOKUP($K64,PantheonList!$A$18:$A$139,PantheonList!$E$18:$E$139)</f>
        <v>Occult</v>
      </c>
      <c r="P64" s="146" t="str">
        <f>LOOKUP($K64,PantheonList!$A$18:$A$139,PantheonList!$F$18:$F$139)</f>
        <v>Politics</v>
      </c>
      <c r="Q64" s="146" t="str">
        <f>LOOKUP($K64,PantheonList!$A$18:$A$139,PantheonList!$G$18:$G$139)</f>
        <v>Stealth</v>
      </c>
      <c r="R64" s="146" t="str">
        <f t="shared" si="12"/>
        <v>No</v>
      </c>
      <c r="S64" s="146" t="str">
        <f t="shared" si="12"/>
        <v>No</v>
      </c>
      <c r="T64" s="146" t="str">
        <f t="shared" si="12"/>
        <v>No</v>
      </c>
      <c r="U64" s="146" t="str">
        <f t="shared" si="12"/>
        <v>No</v>
      </c>
      <c r="V64" s="146" t="str">
        <f t="shared" si="12"/>
        <v>No</v>
      </c>
      <c r="W64" s="146" t="str">
        <f t="shared" si="12"/>
        <v>Yes</v>
      </c>
      <c r="X64" s="146" t="str">
        <f t="shared" si="12"/>
        <v>No</v>
      </c>
      <c r="Y64" s="146" t="str">
        <f t="shared" si="12"/>
        <v>No</v>
      </c>
      <c r="Z64" s="146" t="str">
        <f t="shared" si="12"/>
        <v>No</v>
      </c>
      <c r="AA64" s="146" t="str">
        <f t="shared" si="12"/>
        <v>Yes</v>
      </c>
      <c r="AB64" s="146" t="str">
        <f t="shared" si="13"/>
        <v>No</v>
      </c>
      <c r="AC64" s="146" t="str">
        <f t="shared" si="13"/>
        <v>No</v>
      </c>
      <c r="AD64" s="146" t="str">
        <f t="shared" si="13"/>
        <v>No</v>
      </c>
      <c r="AE64" s="146" t="str">
        <f t="shared" si="13"/>
        <v>Yes</v>
      </c>
      <c r="AF64" s="146" t="str">
        <f t="shared" si="13"/>
        <v>No</v>
      </c>
      <c r="AG64" s="146" t="str">
        <f t="shared" si="13"/>
        <v>No</v>
      </c>
      <c r="AH64" s="146" t="str">
        <f t="shared" si="13"/>
        <v>No</v>
      </c>
      <c r="AI64" s="146" t="str">
        <f t="shared" si="13"/>
        <v>Yes</v>
      </c>
      <c r="AJ64" s="146" t="str">
        <f t="shared" si="13"/>
        <v>Yes</v>
      </c>
      <c r="AK64" s="146" t="str">
        <f t="shared" si="13"/>
        <v>No</v>
      </c>
      <c r="AL64" s="146" t="str">
        <f t="shared" si="13"/>
        <v>No</v>
      </c>
      <c r="AM64" s="146" t="str">
        <f t="shared" si="13"/>
        <v>Yes</v>
      </c>
      <c r="AN64" s="146" t="str">
        <f t="shared" si="13"/>
        <v>No</v>
      </c>
      <c r="AO64" s="149" t="str">
        <f t="shared" si="13"/>
        <v>No</v>
      </c>
      <c r="AP64" s="181" t="s">
        <v>211</v>
      </c>
      <c r="AQ64" s="146">
        <v>64</v>
      </c>
      <c r="AR64" s="146" t="s">
        <v>361</v>
      </c>
      <c r="AS64" s="146" t="s">
        <v>361</v>
      </c>
      <c r="AT64" s="146" t="s">
        <v>361</v>
      </c>
      <c r="AU64" s="146" t="s">
        <v>360</v>
      </c>
      <c r="AV64" s="146" t="s">
        <v>361</v>
      </c>
      <c r="AW64" s="146" t="s">
        <v>361</v>
      </c>
      <c r="AX64" s="146" t="s">
        <v>361</v>
      </c>
      <c r="AY64" s="146" t="s">
        <v>361</v>
      </c>
      <c r="AZ64" s="146" t="s">
        <v>361</v>
      </c>
      <c r="BA64" s="146" t="s">
        <v>361</v>
      </c>
      <c r="BB64" s="146" t="s">
        <v>361</v>
      </c>
      <c r="BC64" s="146" t="s">
        <v>360</v>
      </c>
      <c r="BD64" s="146" t="s">
        <v>361</v>
      </c>
      <c r="BE64" s="146" t="s">
        <v>361</v>
      </c>
      <c r="BF64" s="146" t="s">
        <v>361</v>
      </c>
      <c r="BG64" s="146" t="s">
        <v>361</v>
      </c>
      <c r="BH64" s="146" t="s">
        <v>361</v>
      </c>
      <c r="BI64" s="146" t="s">
        <v>361</v>
      </c>
      <c r="BJ64" s="146" t="s">
        <v>361</v>
      </c>
      <c r="BK64" s="146" t="s">
        <v>360</v>
      </c>
      <c r="BL64" s="146" t="s">
        <v>361</v>
      </c>
      <c r="BM64" s="146" t="s">
        <v>360</v>
      </c>
      <c r="BN64" s="146" t="s">
        <v>361</v>
      </c>
      <c r="BO64" s="146" t="s">
        <v>361</v>
      </c>
      <c r="BP64" s="146" t="s">
        <v>361</v>
      </c>
      <c r="BQ64" s="146" t="s">
        <v>361</v>
      </c>
      <c r="BR64" s="146" t="s">
        <v>361</v>
      </c>
      <c r="BS64" s="146" t="s">
        <v>361</v>
      </c>
      <c r="BT64" s="146" t="s">
        <v>361</v>
      </c>
      <c r="BU64" s="146" t="s">
        <v>361</v>
      </c>
      <c r="BV64" s="146" t="s">
        <v>361</v>
      </c>
      <c r="BW64" s="146" t="s">
        <v>361</v>
      </c>
      <c r="BX64" s="146" t="s">
        <v>361</v>
      </c>
      <c r="BY64" s="146" t="s">
        <v>361</v>
      </c>
      <c r="BZ64" s="149" t="s">
        <v>361</v>
      </c>
    </row>
    <row r="65" spans="1:78" s="2" customFormat="1" x14ac:dyDescent="0.25">
      <c r="A65" s="181" t="s">
        <v>299</v>
      </c>
      <c r="B65" s="146" t="s">
        <v>361</v>
      </c>
      <c r="C65" s="146" t="s">
        <v>360</v>
      </c>
      <c r="D65" s="146" t="s">
        <v>361</v>
      </c>
      <c r="E65" s="146" t="s">
        <v>360</v>
      </c>
      <c r="F65" s="146" t="s">
        <v>361</v>
      </c>
      <c r="G65" s="146" t="s">
        <v>361</v>
      </c>
      <c r="H65" s="146" t="s">
        <v>361</v>
      </c>
      <c r="I65" s="146" t="s">
        <v>361</v>
      </c>
      <c r="J65" s="149" t="s">
        <v>360</v>
      </c>
      <c r="K65" s="181" t="s">
        <v>299</v>
      </c>
      <c r="L65" s="146" t="str">
        <f>LOOKUP($K65,PantheonList!$A$18:$A$139,PantheonList!$B$18:$B$139)</f>
        <v>Art</v>
      </c>
      <c r="M65" s="146" t="str">
        <f>LOOKUP($K65,PantheonList!$A$18:$A$139,PantheonList!$C$18:$C$139)</f>
        <v>Athletics</v>
      </c>
      <c r="N65" s="146" t="str">
        <f>LOOKUP($K65,PantheonList!$A$18:$A$139,PantheonList!$D$18:$D$139)</f>
        <v>Integrity</v>
      </c>
      <c r="O65" s="146" t="str">
        <f>LOOKUP($K65,PantheonList!$A$18:$A$139,PantheonList!$E$18:$E$139)</f>
        <v>Melee</v>
      </c>
      <c r="P65" s="146" t="str">
        <f>LOOKUP($K65,PantheonList!$A$18:$A$139,PantheonList!$F$18:$F$139)</f>
        <v>Occult</v>
      </c>
      <c r="Q65" s="146" t="str">
        <f>LOOKUP($K65,PantheonList!$A$18:$A$139,PantheonList!$G$18:$G$139)</f>
        <v>Thrown</v>
      </c>
      <c r="R65" s="146" t="str">
        <f t="shared" si="12"/>
        <v>No</v>
      </c>
      <c r="S65" s="146" t="str">
        <f t="shared" si="12"/>
        <v>No</v>
      </c>
      <c r="T65" s="146" t="str">
        <f t="shared" si="12"/>
        <v>Yes</v>
      </c>
      <c r="U65" s="146" t="str">
        <f t="shared" si="12"/>
        <v>Yes</v>
      </c>
      <c r="V65" s="146" t="str">
        <f t="shared" si="12"/>
        <v>No</v>
      </c>
      <c r="W65" s="146" t="str">
        <f t="shared" si="12"/>
        <v>No</v>
      </c>
      <c r="X65" s="146" t="str">
        <f t="shared" si="12"/>
        <v>No</v>
      </c>
      <c r="Y65" s="146" t="str">
        <f t="shared" si="12"/>
        <v>No</v>
      </c>
      <c r="Z65" s="146" t="str">
        <f t="shared" si="12"/>
        <v>No</v>
      </c>
      <c r="AA65" s="146" t="str">
        <f t="shared" si="12"/>
        <v>No</v>
      </c>
      <c r="AB65" s="146" t="str">
        <f t="shared" si="13"/>
        <v>No</v>
      </c>
      <c r="AC65" s="146" t="str">
        <f t="shared" si="13"/>
        <v>Yes</v>
      </c>
      <c r="AD65" s="146" t="str">
        <f t="shared" si="13"/>
        <v>No</v>
      </c>
      <c r="AE65" s="146" t="str">
        <f t="shared" si="13"/>
        <v>No</v>
      </c>
      <c r="AF65" s="146" t="str">
        <f t="shared" si="13"/>
        <v>No</v>
      </c>
      <c r="AG65" s="146" t="str">
        <f t="shared" si="13"/>
        <v>No</v>
      </c>
      <c r="AH65" s="146" t="str">
        <f t="shared" si="13"/>
        <v>Yes</v>
      </c>
      <c r="AI65" s="146" t="str">
        <f t="shared" si="13"/>
        <v>Yes</v>
      </c>
      <c r="AJ65" s="146" t="str">
        <f t="shared" si="13"/>
        <v>No</v>
      </c>
      <c r="AK65" s="146" t="str">
        <f t="shared" si="13"/>
        <v>No</v>
      </c>
      <c r="AL65" s="146" t="str">
        <f t="shared" si="13"/>
        <v>No</v>
      </c>
      <c r="AM65" s="146" t="str">
        <f t="shared" si="13"/>
        <v>No</v>
      </c>
      <c r="AN65" s="146" t="str">
        <f t="shared" si="13"/>
        <v>No</v>
      </c>
      <c r="AO65" s="149" t="str">
        <f t="shared" si="13"/>
        <v>Yes</v>
      </c>
      <c r="AP65" s="181" t="s">
        <v>299</v>
      </c>
      <c r="AQ65" s="146">
        <v>65</v>
      </c>
      <c r="AR65" s="146" t="s">
        <v>360</v>
      </c>
      <c r="AS65" s="146" t="s">
        <v>361</v>
      </c>
      <c r="AT65" s="146" t="s">
        <v>361</v>
      </c>
      <c r="AU65" s="146" t="s">
        <v>361</v>
      </c>
      <c r="AV65" s="146" t="s">
        <v>361</v>
      </c>
      <c r="AW65" s="146" t="s">
        <v>361</v>
      </c>
      <c r="AX65" s="146" t="s">
        <v>361</v>
      </c>
      <c r="AY65" s="146" t="s">
        <v>361</v>
      </c>
      <c r="AZ65" s="146" t="s">
        <v>361</v>
      </c>
      <c r="BA65" s="146" t="s">
        <v>360</v>
      </c>
      <c r="BB65" s="146" t="s">
        <v>361</v>
      </c>
      <c r="BC65" s="146" t="s">
        <v>361</v>
      </c>
      <c r="BD65" s="146" t="s">
        <v>361</v>
      </c>
      <c r="BE65" s="146" t="s">
        <v>360</v>
      </c>
      <c r="BF65" s="146" t="s">
        <v>360</v>
      </c>
      <c r="BG65" s="146" t="s">
        <v>361</v>
      </c>
      <c r="BH65" s="146" t="s">
        <v>360</v>
      </c>
      <c r="BI65" s="146" t="s">
        <v>361</v>
      </c>
      <c r="BJ65" s="146" t="s">
        <v>361</v>
      </c>
      <c r="BK65" s="146" t="s">
        <v>361</v>
      </c>
      <c r="BL65" s="146" t="s">
        <v>361</v>
      </c>
      <c r="BM65" s="146" t="s">
        <v>360</v>
      </c>
      <c r="BN65" s="146" t="s">
        <v>361</v>
      </c>
      <c r="BO65" s="146" t="s">
        <v>361</v>
      </c>
      <c r="BP65" s="146" t="s">
        <v>361</v>
      </c>
      <c r="BQ65" s="146" t="s">
        <v>361</v>
      </c>
      <c r="BR65" s="146" t="s">
        <v>361</v>
      </c>
      <c r="BS65" s="146" t="s">
        <v>361</v>
      </c>
      <c r="BT65" s="146" t="s">
        <v>360</v>
      </c>
      <c r="BU65" s="146" t="s">
        <v>361</v>
      </c>
      <c r="BV65" s="146" t="s">
        <v>361</v>
      </c>
      <c r="BW65" s="146" t="s">
        <v>361</v>
      </c>
      <c r="BX65" s="146" t="s">
        <v>361</v>
      </c>
      <c r="BY65" s="146" t="s">
        <v>360</v>
      </c>
      <c r="BZ65" s="149" t="s">
        <v>361</v>
      </c>
    </row>
    <row r="66" spans="1:78" s="2" customFormat="1" x14ac:dyDescent="0.25">
      <c r="A66" s="181" t="s">
        <v>329</v>
      </c>
      <c r="B66" s="146" t="s">
        <v>361</v>
      </c>
      <c r="C66" s="146" t="s">
        <v>361</v>
      </c>
      <c r="D66" s="146" t="s">
        <v>361</v>
      </c>
      <c r="E66" s="146" t="s">
        <v>361</v>
      </c>
      <c r="F66" s="146" t="s">
        <v>361</v>
      </c>
      <c r="G66" s="146" t="s">
        <v>361</v>
      </c>
      <c r="H66" s="146" t="s">
        <v>360</v>
      </c>
      <c r="I66" s="146" t="s">
        <v>361</v>
      </c>
      <c r="J66" s="149" t="s">
        <v>361</v>
      </c>
      <c r="K66" s="181" t="s">
        <v>329</v>
      </c>
      <c r="L66" s="146" t="str">
        <f>LOOKUP($K66,PantheonList!$A$18:$A$139,PantheonList!$B$18:$B$139)</f>
        <v>Awareness</v>
      </c>
      <c r="M66" s="146" t="str">
        <f>LOOKUP($K66,PantheonList!$A$18:$A$139,PantheonList!$C$18:$C$139)</f>
        <v>Empathy</v>
      </c>
      <c r="N66" s="146" t="str">
        <f>LOOKUP($K66,PantheonList!$A$18:$A$139,PantheonList!$D$18:$D$139)</f>
        <v>Integrity</v>
      </c>
      <c r="O66" s="146" t="str">
        <f>LOOKUP($K66,PantheonList!$A$18:$A$139,PantheonList!$E$18:$E$139)</f>
        <v>Investigation</v>
      </c>
      <c r="P66" s="146" t="str">
        <f>LOOKUP($K66,PantheonList!$A$18:$A$139,PantheonList!$F$18:$F$139)</f>
        <v>Politics</v>
      </c>
      <c r="Q66" s="146" t="str">
        <f>LOOKUP($K66,PantheonList!$A$18:$A$139,PantheonList!$G$18:$G$139)</f>
        <v>Science</v>
      </c>
      <c r="R66" s="146" t="str">
        <f t="shared" si="12"/>
        <v>No</v>
      </c>
      <c r="S66" s="146" t="str">
        <f t="shared" si="12"/>
        <v>No</v>
      </c>
      <c r="T66" s="146" t="str">
        <f t="shared" si="12"/>
        <v>No</v>
      </c>
      <c r="U66" s="146" t="str">
        <f t="shared" si="12"/>
        <v>No</v>
      </c>
      <c r="V66" s="146" t="str">
        <f t="shared" si="12"/>
        <v>Yes</v>
      </c>
      <c r="W66" s="146" t="str">
        <f t="shared" si="12"/>
        <v>No</v>
      </c>
      <c r="X66" s="146" t="str">
        <f t="shared" si="12"/>
        <v>No</v>
      </c>
      <c r="Y66" s="146" t="str">
        <f t="shared" si="12"/>
        <v>No</v>
      </c>
      <c r="Z66" s="146" t="str">
        <f t="shared" si="12"/>
        <v>No</v>
      </c>
      <c r="AA66" s="146" t="str">
        <f t="shared" si="12"/>
        <v>Yes</v>
      </c>
      <c r="AB66" s="146" t="str">
        <f t="shared" si="13"/>
        <v>No</v>
      </c>
      <c r="AC66" s="146" t="str">
        <f t="shared" si="13"/>
        <v>Yes</v>
      </c>
      <c r="AD66" s="146" t="str">
        <f t="shared" si="13"/>
        <v>Yes</v>
      </c>
      <c r="AE66" s="146" t="str">
        <f t="shared" si="13"/>
        <v>No</v>
      </c>
      <c r="AF66" s="146" t="str">
        <f t="shared" si="13"/>
        <v>No</v>
      </c>
      <c r="AG66" s="146" t="str">
        <f t="shared" si="13"/>
        <v>No</v>
      </c>
      <c r="AH66" s="146" t="str">
        <f t="shared" si="13"/>
        <v>No</v>
      </c>
      <c r="AI66" s="146" t="str">
        <f t="shared" si="13"/>
        <v>No</v>
      </c>
      <c r="AJ66" s="146" t="str">
        <f t="shared" si="13"/>
        <v>Yes</v>
      </c>
      <c r="AK66" s="146" t="str">
        <f t="shared" si="13"/>
        <v>No</v>
      </c>
      <c r="AL66" s="146" t="str">
        <f t="shared" si="13"/>
        <v>Yes</v>
      </c>
      <c r="AM66" s="146" t="str">
        <f t="shared" si="13"/>
        <v>No</v>
      </c>
      <c r="AN66" s="146" t="str">
        <f t="shared" si="13"/>
        <v>No</v>
      </c>
      <c r="AO66" s="149" t="str">
        <f t="shared" si="13"/>
        <v>No</v>
      </c>
      <c r="AP66" s="181" t="s">
        <v>329</v>
      </c>
      <c r="AQ66" s="146">
        <v>66</v>
      </c>
      <c r="AR66" s="146" t="s">
        <v>361</v>
      </c>
      <c r="AS66" s="146" t="s">
        <v>361</v>
      </c>
      <c r="AT66" s="146" t="s">
        <v>361</v>
      </c>
      <c r="AU66" s="146" t="s">
        <v>361</v>
      </c>
      <c r="AV66" s="146" t="s">
        <v>361</v>
      </c>
      <c r="AW66" s="146" t="s">
        <v>360</v>
      </c>
      <c r="AX66" s="146" t="s">
        <v>361</v>
      </c>
      <c r="AY66" s="146" t="s">
        <v>360</v>
      </c>
      <c r="AZ66" s="146" t="s">
        <v>361</v>
      </c>
      <c r="BA66" s="146" t="s">
        <v>361</v>
      </c>
      <c r="BB66" s="146" t="s">
        <v>361</v>
      </c>
      <c r="BC66" s="146" t="s">
        <v>361</v>
      </c>
      <c r="BD66" s="146" t="s">
        <v>361</v>
      </c>
      <c r="BE66" s="146" t="s">
        <v>361</v>
      </c>
      <c r="BF66" s="146" t="s">
        <v>361</v>
      </c>
      <c r="BG66" s="146" t="s">
        <v>361</v>
      </c>
      <c r="BH66" s="146" t="s">
        <v>361</v>
      </c>
      <c r="BI66" s="146" t="s">
        <v>361</v>
      </c>
      <c r="BJ66" s="146" t="s">
        <v>361</v>
      </c>
      <c r="BK66" s="146" t="s">
        <v>361</v>
      </c>
      <c r="BL66" s="146" t="s">
        <v>360</v>
      </c>
      <c r="BM66" s="146" t="s">
        <v>361</v>
      </c>
      <c r="BN66" s="146" t="s">
        <v>361</v>
      </c>
      <c r="BO66" s="146" t="s">
        <v>360</v>
      </c>
      <c r="BP66" s="146" t="s">
        <v>361</v>
      </c>
      <c r="BQ66" s="146" t="s">
        <v>361</v>
      </c>
      <c r="BR66" s="146" t="s">
        <v>361</v>
      </c>
      <c r="BS66" s="146" t="s">
        <v>361</v>
      </c>
      <c r="BT66" s="146" t="s">
        <v>361</v>
      </c>
      <c r="BU66" s="146" t="s">
        <v>361</v>
      </c>
      <c r="BV66" s="146" t="s">
        <v>361</v>
      </c>
      <c r="BW66" s="146" t="s">
        <v>361</v>
      </c>
      <c r="BX66" s="146" t="s">
        <v>361</v>
      </c>
      <c r="BY66" s="146" t="s">
        <v>361</v>
      </c>
      <c r="BZ66" s="149" t="s">
        <v>361</v>
      </c>
    </row>
    <row r="67" spans="1:78" s="2" customFormat="1" x14ac:dyDescent="0.25">
      <c r="A67" s="181" t="s">
        <v>307</v>
      </c>
      <c r="B67" s="146" t="s">
        <v>361</v>
      </c>
      <c r="C67" s="146" t="s">
        <v>361</v>
      </c>
      <c r="D67" s="146" t="s">
        <v>361</v>
      </c>
      <c r="E67" s="146" t="s">
        <v>361</v>
      </c>
      <c r="F67" s="146" t="s">
        <v>361</v>
      </c>
      <c r="G67" s="146" t="s">
        <v>361</v>
      </c>
      <c r="H67" s="146" t="s">
        <v>361</v>
      </c>
      <c r="I67" s="146" t="s">
        <v>360</v>
      </c>
      <c r="J67" s="149" t="s">
        <v>360</v>
      </c>
      <c r="K67" s="181" t="s">
        <v>307</v>
      </c>
      <c r="L67" s="146" t="str">
        <f>LOOKUP($K67,PantheonList!$A$18:$A$139,PantheonList!$B$18:$B$139)</f>
        <v>Animal Ken</v>
      </c>
      <c r="M67" s="146" t="str">
        <f>LOOKUP($K67,PantheonList!$A$18:$A$139,PantheonList!$C$18:$C$139)</f>
        <v>Art</v>
      </c>
      <c r="N67" s="146" t="str">
        <f>LOOKUP($K67,PantheonList!$A$18:$A$139,PantheonList!$D$18:$D$139)</f>
        <v>Larceny</v>
      </c>
      <c r="O67" s="146" t="str">
        <f>LOOKUP($K67,PantheonList!$A$18:$A$139,PantheonList!$E$18:$E$139)</f>
        <v>Occult</v>
      </c>
      <c r="P67" s="146" t="str">
        <f>LOOKUP($K67,PantheonList!$A$18:$A$139,PantheonList!$F$18:$F$139)</f>
        <v>Science</v>
      </c>
      <c r="Q67" s="146" t="str">
        <f>LOOKUP($K67,PantheonList!$A$18:$A$139,PantheonList!$G$18:$G$139)</f>
        <v>Stealth</v>
      </c>
      <c r="R67" s="146" t="str">
        <f t="shared" si="12"/>
        <v>No</v>
      </c>
      <c r="S67" s="146" t="str">
        <f t="shared" si="12"/>
        <v>Yes</v>
      </c>
      <c r="T67" s="146" t="str">
        <f t="shared" si="12"/>
        <v>Yes</v>
      </c>
      <c r="U67" s="146" t="str">
        <f t="shared" si="12"/>
        <v>No</v>
      </c>
      <c r="V67" s="146" t="str">
        <f t="shared" si="12"/>
        <v>No</v>
      </c>
      <c r="W67" s="146" t="str">
        <f t="shared" si="12"/>
        <v>No</v>
      </c>
      <c r="X67" s="146" t="str">
        <f t="shared" si="12"/>
        <v>No</v>
      </c>
      <c r="Y67" s="146" t="str">
        <f t="shared" si="12"/>
        <v>No</v>
      </c>
      <c r="Z67" s="146" t="str">
        <f t="shared" si="12"/>
        <v>No</v>
      </c>
      <c r="AA67" s="146" t="str">
        <f t="shared" si="12"/>
        <v>No</v>
      </c>
      <c r="AB67" s="146" t="str">
        <f t="shared" si="13"/>
        <v>No</v>
      </c>
      <c r="AC67" s="146" t="str">
        <f t="shared" si="13"/>
        <v>No</v>
      </c>
      <c r="AD67" s="146" t="str">
        <f t="shared" si="13"/>
        <v>No</v>
      </c>
      <c r="AE67" s="146" t="str">
        <f t="shared" si="13"/>
        <v>Yes</v>
      </c>
      <c r="AF67" s="146" t="str">
        <f t="shared" si="13"/>
        <v>No</v>
      </c>
      <c r="AG67" s="146" t="str">
        <f t="shared" si="13"/>
        <v>No</v>
      </c>
      <c r="AH67" s="146" t="str">
        <f t="shared" si="13"/>
        <v>No</v>
      </c>
      <c r="AI67" s="146" t="str">
        <f t="shared" si="13"/>
        <v>Yes</v>
      </c>
      <c r="AJ67" s="146" t="str">
        <f t="shared" si="13"/>
        <v>No</v>
      </c>
      <c r="AK67" s="146" t="str">
        <f t="shared" si="13"/>
        <v>No</v>
      </c>
      <c r="AL67" s="146" t="str">
        <f t="shared" si="13"/>
        <v>Yes</v>
      </c>
      <c r="AM67" s="146" t="str">
        <f t="shared" si="13"/>
        <v>Yes</v>
      </c>
      <c r="AN67" s="146" t="str">
        <f t="shared" si="13"/>
        <v>No</v>
      </c>
      <c r="AO67" s="149" t="str">
        <f t="shared" si="13"/>
        <v>No</v>
      </c>
      <c r="AP67" s="181" t="s">
        <v>307</v>
      </c>
      <c r="AQ67" s="146">
        <v>67</v>
      </c>
      <c r="AR67" s="146" t="s">
        <v>360</v>
      </c>
      <c r="AS67" s="146" t="s">
        <v>361</v>
      </c>
      <c r="AT67" s="146" t="s">
        <v>360</v>
      </c>
      <c r="AU67" s="146" t="s">
        <v>361</v>
      </c>
      <c r="AV67" s="146" t="s">
        <v>361</v>
      </c>
      <c r="AW67" s="146" t="s">
        <v>361</v>
      </c>
      <c r="AX67" s="146" t="s">
        <v>361</v>
      </c>
      <c r="AY67" s="146" t="s">
        <v>361</v>
      </c>
      <c r="AZ67" s="146" t="s">
        <v>361</v>
      </c>
      <c r="BA67" s="146" t="s">
        <v>361</v>
      </c>
      <c r="BB67" s="146" t="s">
        <v>361</v>
      </c>
      <c r="BC67" s="146" t="s">
        <v>361</v>
      </c>
      <c r="BD67" s="146" t="s">
        <v>361</v>
      </c>
      <c r="BE67" s="146" t="s">
        <v>361</v>
      </c>
      <c r="BF67" s="146" t="s">
        <v>361</v>
      </c>
      <c r="BG67" s="146" t="s">
        <v>361</v>
      </c>
      <c r="BH67" s="146" t="s">
        <v>361</v>
      </c>
      <c r="BI67" s="146" t="s">
        <v>361</v>
      </c>
      <c r="BJ67" s="146" t="s">
        <v>361</v>
      </c>
      <c r="BK67" s="146" t="s">
        <v>361</v>
      </c>
      <c r="BL67" s="146" t="s">
        <v>361</v>
      </c>
      <c r="BM67" s="146" t="s">
        <v>361</v>
      </c>
      <c r="BN67" s="146" t="s">
        <v>360</v>
      </c>
      <c r="BO67" s="146" t="s">
        <v>361</v>
      </c>
      <c r="BP67" s="146" t="s">
        <v>361</v>
      </c>
      <c r="BQ67" s="146" t="s">
        <v>361</v>
      </c>
      <c r="BR67" s="146" t="s">
        <v>361</v>
      </c>
      <c r="BS67" s="146" t="s">
        <v>361</v>
      </c>
      <c r="BT67" s="146" t="s">
        <v>361</v>
      </c>
      <c r="BU67" s="146" t="s">
        <v>361</v>
      </c>
      <c r="BV67" s="146" t="s">
        <v>361</v>
      </c>
      <c r="BW67" s="146" t="s">
        <v>361</v>
      </c>
      <c r="BX67" s="146" t="s">
        <v>361</v>
      </c>
      <c r="BY67" s="146" t="s">
        <v>361</v>
      </c>
      <c r="BZ67" s="149" t="s">
        <v>361</v>
      </c>
    </row>
    <row r="68" spans="1:78" s="2" customFormat="1" x14ac:dyDescent="0.25">
      <c r="A68" s="181" t="s">
        <v>300</v>
      </c>
      <c r="B68" s="146" t="s">
        <v>361</v>
      </c>
      <c r="C68" s="146" t="s">
        <v>361</v>
      </c>
      <c r="D68" s="146" t="s">
        <v>361</v>
      </c>
      <c r="E68" s="146" t="s">
        <v>361</v>
      </c>
      <c r="F68" s="146" t="s">
        <v>360</v>
      </c>
      <c r="G68" s="146" t="s">
        <v>361</v>
      </c>
      <c r="H68" s="146" t="s">
        <v>361</v>
      </c>
      <c r="I68" s="146" t="s">
        <v>361</v>
      </c>
      <c r="J68" s="149" t="s">
        <v>360</v>
      </c>
      <c r="K68" s="181" t="s">
        <v>300</v>
      </c>
      <c r="L68" s="146" t="str">
        <f>LOOKUP($K68,PantheonList!$A$18:$A$139,PantheonList!$B$18:$B$139)</f>
        <v>Animal Ken</v>
      </c>
      <c r="M68" s="146" t="str">
        <f>LOOKUP($K68,PantheonList!$A$18:$A$139,PantheonList!$C$18:$C$139)</f>
        <v>Athletics</v>
      </c>
      <c r="N68" s="146" t="str">
        <f>LOOKUP($K68,PantheonList!$A$18:$A$139,PantheonList!$D$18:$D$139)</f>
        <v>Brawl</v>
      </c>
      <c r="O68" s="146" t="str">
        <f>LOOKUP($K68,PantheonList!$A$18:$A$139,PantheonList!$E$18:$E$139)</f>
        <v>Control</v>
      </c>
      <c r="P68" s="146" t="str">
        <f>LOOKUP($K68,PantheonList!$A$18:$A$139,PantheonList!$F$18:$F$139)</f>
        <v>Investigation</v>
      </c>
      <c r="Q68" s="146" t="str">
        <f>LOOKUP($K68,PantheonList!$A$18:$A$139,PantheonList!$G$18:$G$139)</f>
        <v>Occult</v>
      </c>
      <c r="R68" s="146" t="str">
        <f t="shared" si="12"/>
        <v>No</v>
      </c>
      <c r="S68" s="146" t="str">
        <f t="shared" si="12"/>
        <v>Yes</v>
      </c>
      <c r="T68" s="146" t="str">
        <f t="shared" si="12"/>
        <v>No</v>
      </c>
      <c r="U68" s="146" t="str">
        <f t="shared" si="12"/>
        <v>Yes</v>
      </c>
      <c r="V68" s="146" t="str">
        <f t="shared" si="12"/>
        <v>No</v>
      </c>
      <c r="W68" s="146" t="str">
        <f t="shared" si="12"/>
        <v>Yes</v>
      </c>
      <c r="X68" s="146" t="str">
        <f t="shared" si="12"/>
        <v>No</v>
      </c>
      <c r="Y68" s="146" t="str">
        <f t="shared" si="12"/>
        <v>Yes</v>
      </c>
      <c r="Z68" s="146" t="str">
        <f t="shared" si="12"/>
        <v>No</v>
      </c>
      <c r="AA68" s="146" t="str">
        <f t="shared" si="12"/>
        <v>No</v>
      </c>
      <c r="AB68" s="146" t="str">
        <f t="shared" si="13"/>
        <v>No</v>
      </c>
      <c r="AC68" s="146" t="str">
        <f t="shared" si="13"/>
        <v>No</v>
      </c>
      <c r="AD68" s="146" t="str">
        <f t="shared" si="13"/>
        <v>Yes</v>
      </c>
      <c r="AE68" s="146" t="str">
        <f t="shared" si="13"/>
        <v>No</v>
      </c>
      <c r="AF68" s="146" t="str">
        <f t="shared" si="13"/>
        <v>No</v>
      </c>
      <c r="AG68" s="146" t="str">
        <f t="shared" si="13"/>
        <v>No</v>
      </c>
      <c r="AH68" s="146" t="str">
        <f t="shared" si="13"/>
        <v>No</v>
      </c>
      <c r="AI68" s="146" t="str">
        <f t="shared" si="13"/>
        <v>Yes</v>
      </c>
      <c r="AJ68" s="146" t="str">
        <f t="shared" si="13"/>
        <v>No</v>
      </c>
      <c r="AK68" s="146" t="str">
        <f t="shared" si="13"/>
        <v>No</v>
      </c>
      <c r="AL68" s="146" t="str">
        <f t="shared" si="13"/>
        <v>No</v>
      </c>
      <c r="AM68" s="146" t="str">
        <f t="shared" si="13"/>
        <v>No</v>
      </c>
      <c r="AN68" s="146" t="str">
        <f t="shared" si="13"/>
        <v>No</v>
      </c>
      <c r="AO68" s="149" t="str">
        <f t="shared" si="13"/>
        <v>No</v>
      </c>
      <c r="AP68" s="181" t="s">
        <v>300</v>
      </c>
      <c r="AQ68" s="146">
        <v>68</v>
      </c>
      <c r="AR68" s="146" t="s">
        <v>360</v>
      </c>
      <c r="AS68" s="146" t="s">
        <v>361</v>
      </c>
      <c r="AT68" s="146" t="s">
        <v>361</v>
      </c>
      <c r="AU68" s="146" t="s">
        <v>361</v>
      </c>
      <c r="AV68" s="146" t="s">
        <v>361</v>
      </c>
      <c r="AW68" s="146" t="s">
        <v>361</v>
      </c>
      <c r="AX68" s="146" t="s">
        <v>361</v>
      </c>
      <c r="AY68" s="146" t="s">
        <v>360</v>
      </c>
      <c r="AZ68" s="146" t="s">
        <v>361</v>
      </c>
      <c r="BA68" s="146" t="s">
        <v>360</v>
      </c>
      <c r="BB68" s="146" t="s">
        <v>361</v>
      </c>
      <c r="BC68" s="146" t="s">
        <v>361</v>
      </c>
      <c r="BD68" s="146" t="s">
        <v>361</v>
      </c>
      <c r="BE68" s="146" t="s">
        <v>361</v>
      </c>
      <c r="BF68" s="146" t="s">
        <v>361</v>
      </c>
      <c r="BG68" s="146" t="s">
        <v>361</v>
      </c>
      <c r="BH68" s="146" t="s">
        <v>360</v>
      </c>
      <c r="BI68" s="146" t="s">
        <v>361</v>
      </c>
      <c r="BJ68" s="146" t="s">
        <v>361</v>
      </c>
      <c r="BK68" s="146" t="s">
        <v>361</v>
      </c>
      <c r="BL68" s="146" t="s">
        <v>361</v>
      </c>
      <c r="BM68" s="146" t="s">
        <v>360</v>
      </c>
      <c r="BN68" s="146" t="s">
        <v>361</v>
      </c>
      <c r="BO68" s="146" t="s">
        <v>361</v>
      </c>
      <c r="BP68" s="146" t="s">
        <v>360</v>
      </c>
      <c r="BQ68" s="146" t="s">
        <v>360</v>
      </c>
      <c r="BR68" s="146" t="s">
        <v>361</v>
      </c>
      <c r="BS68" s="146" t="s">
        <v>361</v>
      </c>
      <c r="BT68" s="146" t="s">
        <v>361</v>
      </c>
      <c r="BU68" s="146" t="s">
        <v>361</v>
      </c>
      <c r="BV68" s="146" t="s">
        <v>361</v>
      </c>
      <c r="BW68" s="146" t="s">
        <v>361</v>
      </c>
      <c r="BX68" s="146" t="s">
        <v>361</v>
      </c>
      <c r="BY68" s="146" t="s">
        <v>361</v>
      </c>
      <c r="BZ68" s="149" t="s">
        <v>360</v>
      </c>
    </row>
    <row r="69" spans="1:78" s="2" customFormat="1" x14ac:dyDescent="0.25">
      <c r="A69" s="181" t="s">
        <v>330</v>
      </c>
      <c r="B69" s="146" t="s">
        <v>361</v>
      </c>
      <c r="C69" s="146" t="s">
        <v>361</v>
      </c>
      <c r="D69" s="146" t="s">
        <v>361</v>
      </c>
      <c r="E69" s="146" t="s">
        <v>360</v>
      </c>
      <c r="F69" s="146" t="s">
        <v>361</v>
      </c>
      <c r="G69" s="146" t="s">
        <v>361</v>
      </c>
      <c r="H69" s="146" t="s">
        <v>360</v>
      </c>
      <c r="I69" s="146" t="s">
        <v>361</v>
      </c>
      <c r="J69" s="149" t="s">
        <v>361</v>
      </c>
      <c r="K69" s="181" t="s">
        <v>330</v>
      </c>
      <c r="L69" s="146" t="str">
        <f>LOOKUP($K69,PantheonList!$A$18:$A$139,PantheonList!$B$18:$B$139)</f>
        <v>Art</v>
      </c>
      <c r="M69" s="146" t="str">
        <f>LOOKUP($K69,PantheonList!$A$18:$A$139,PantheonList!$C$18:$C$139)</f>
        <v>Awareness</v>
      </c>
      <c r="N69" s="146" t="str">
        <f>LOOKUP($K69,PantheonList!$A$18:$A$139,PantheonList!$D$18:$D$139)</f>
        <v>Command</v>
      </c>
      <c r="O69" s="146" t="str">
        <f>LOOKUP($K69,PantheonList!$A$18:$A$139,PantheonList!$E$18:$E$139)</f>
        <v>Empathy</v>
      </c>
      <c r="P69" s="146" t="str">
        <f>LOOKUP($K69,PantheonList!$A$18:$A$139,PantheonList!$F$18:$F$139)</f>
        <v>Integrity</v>
      </c>
      <c r="Q69" s="146" t="str">
        <f>LOOKUP($K69,PantheonList!$A$18:$A$139,PantheonList!$G$18:$G$139)</f>
        <v>Presence</v>
      </c>
      <c r="R69" s="146" t="str">
        <f t="shared" si="12"/>
        <v>No</v>
      </c>
      <c r="S69" s="146" t="str">
        <f t="shared" si="12"/>
        <v>No</v>
      </c>
      <c r="T69" s="146" t="str">
        <f t="shared" si="12"/>
        <v>Yes</v>
      </c>
      <c r="U69" s="146" t="str">
        <f t="shared" si="12"/>
        <v>No</v>
      </c>
      <c r="V69" s="146" t="str">
        <f t="shared" si="12"/>
        <v>Yes</v>
      </c>
      <c r="W69" s="146" t="str">
        <f t="shared" si="12"/>
        <v>No</v>
      </c>
      <c r="X69" s="146" t="str">
        <f t="shared" si="12"/>
        <v>Yes</v>
      </c>
      <c r="Y69" s="146" t="str">
        <f t="shared" si="12"/>
        <v>No</v>
      </c>
      <c r="Z69" s="146" t="str">
        <f t="shared" si="12"/>
        <v>No</v>
      </c>
      <c r="AA69" s="146" t="str">
        <f t="shared" si="12"/>
        <v>Yes</v>
      </c>
      <c r="AB69" s="146" t="str">
        <f t="shared" si="13"/>
        <v>No</v>
      </c>
      <c r="AC69" s="146" t="str">
        <f t="shared" si="13"/>
        <v>Yes</v>
      </c>
      <c r="AD69" s="146" t="str">
        <f t="shared" si="13"/>
        <v>No</v>
      </c>
      <c r="AE69" s="146" t="str">
        <f t="shared" si="13"/>
        <v>No</v>
      </c>
      <c r="AF69" s="146" t="str">
        <f t="shared" si="13"/>
        <v>No</v>
      </c>
      <c r="AG69" s="146" t="str">
        <f t="shared" si="13"/>
        <v>No</v>
      </c>
      <c r="AH69" s="146" t="str">
        <f t="shared" si="13"/>
        <v>No</v>
      </c>
      <c r="AI69" s="146" t="str">
        <f t="shared" si="13"/>
        <v>No</v>
      </c>
      <c r="AJ69" s="146" t="str">
        <f t="shared" si="13"/>
        <v>No</v>
      </c>
      <c r="AK69" s="146" t="str">
        <f t="shared" si="13"/>
        <v>Yes</v>
      </c>
      <c r="AL69" s="146" t="str">
        <f t="shared" si="13"/>
        <v>No</v>
      </c>
      <c r="AM69" s="146" t="str">
        <f t="shared" si="13"/>
        <v>No</v>
      </c>
      <c r="AN69" s="146" t="str">
        <f t="shared" si="13"/>
        <v>No</v>
      </c>
      <c r="AO69" s="149" t="str">
        <f t="shared" si="13"/>
        <v>No</v>
      </c>
      <c r="AP69" s="181" t="s">
        <v>330</v>
      </c>
      <c r="AQ69" s="146">
        <v>69</v>
      </c>
      <c r="AR69" s="146" t="s">
        <v>360</v>
      </c>
      <c r="AS69" s="146" t="s">
        <v>361</v>
      </c>
      <c r="AT69" s="146" t="s">
        <v>361</v>
      </c>
      <c r="AU69" s="146" t="s">
        <v>361</v>
      </c>
      <c r="AV69" s="146" t="s">
        <v>361</v>
      </c>
      <c r="AW69" s="146" t="s">
        <v>360</v>
      </c>
      <c r="AX69" s="146" t="s">
        <v>361</v>
      </c>
      <c r="AY69" s="146" t="s">
        <v>361</v>
      </c>
      <c r="AZ69" s="146" t="s">
        <v>361</v>
      </c>
      <c r="BA69" s="146" t="s">
        <v>361</v>
      </c>
      <c r="BB69" s="146" t="s">
        <v>361</v>
      </c>
      <c r="BC69" s="146" t="s">
        <v>361</v>
      </c>
      <c r="BD69" s="146" t="s">
        <v>361</v>
      </c>
      <c r="BE69" s="146" t="s">
        <v>360</v>
      </c>
      <c r="BF69" s="146" t="s">
        <v>361</v>
      </c>
      <c r="BG69" s="146" t="s">
        <v>361</v>
      </c>
      <c r="BH69" s="146" t="s">
        <v>361</v>
      </c>
      <c r="BI69" s="146" t="s">
        <v>361</v>
      </c>
      <c r="BJ69" s="146" t="s">
        <v>361</v>
      </c>
      <c r="BK69" s="146" t="s">
        <v>361</v>
      </c>
      <c r="BL69" s="146" t="s">
        <v>360</v>
      </c>
      <c r="BM69" s="146" t="s">
        <v>361</v>
      </c>
      <c r="BN69" s="146" t="s">
        <v>361</v>
      </c>
      <c r="BO69" s="146" t="s">
        <v>361</v>
      </c>
      <c r="BP69" s="146" t="s">
        <v>361</v>
      </c>
      <c r="BQ69" s="146" t="s">
        <v>361</v>
      </c>
      <c r="BR69" s="146" t="s">
        <v>361</v>
      </c>
      <c r="BS69" s="146" t="s">
        <v>361</v>
      </c>
      <c r="BT69" s="146" t="s">
        <v>361</v>
      </c>
      <c r="BU69" s="146" t="s">
        <v>361</v>
      </c>
      <c r="BV69" s="146" t="s">
        <v>361</v>
      </c>
      <c r="BW69" s="146" t="s">
        <v>361</v>
      </c>
      <c r="BX69" s="146" t="s">
        <v>361</v>
      </c>
      <c r="BY69" s="146" t="s">
        <v>361</v>
      </c>
      <c r="BZ69" s="149" t="s">
        <v>361</v>
      </c>
    </row>
    <row r="70" spans="1:78" s="2" customFormat="1" x14ac:dyDescent="0.25">
      <c r="A70" s="181" t="s">
        <v>223</v>
      </c>
      <c r="B70" s="146" t="s">
        <v>361</v>
      </c>
      <c r="C70" s="146" t="s">
        <v>360</v>
      </c>
      <c r="D70" s="146" t="s">
        <v>361</v>
      </c>
      <c r="E70" s="146" t="s">
        <v>361</v>
      </c>
      <c r="F70" s="146" t="s">
        <v>361</v>
      </c>
      <c r="G70" s="146" t="s">
        <v>360</v>
      </c>
      <c r="H70" s="146" t="s">
        <v>361</v>
      </c>
      <c r="I70" s="146" t="s">
        <v>361</v>
      </c>
      <c r="J70" s="149" t="s">
        <v>361</v>
      </c>
      <c r="K70" s="181" t="s">
        <v>223</v>
      </c>
      <c r="L70" s="146" t="str">
        <f>LOOKUP($K70,PantheonList!$A$18:$A$139,PantheonList!$B$18:$B$139)</f>
        <v>Awareness</v>
      </c>
      <c r="M70" s="146" t="str">
        <f>LOOKUP($K70,PantheonList!$A$18:$A$139,PantheonList!$C$18:$C$139)</f>
        <v>Empathy</v>
      </c>
      <c r="N70" s="146" t="str">
        <f>LOOKUP($K70,PantheonList!$A$18:$A$139,PantheonList!$D$18:$D$139)</f>
        <v>Integrity</v>
      </c>
      <c r="O70" s="146" t="str">
        <f>LOOKUP($K70,PantheonList!$A$18:$A$139,PantheonList!$E$18:$E$139)</f>
        <v>Larceny</v>
      </c>
      <c r="P70" s="146" t="str">
        <f>LOOKUP($K70,PantheonList!$A$18:$A$139,PantheonList!$F$18:$F$139)</f>
        <v>Fortitude</v>
      </c>
      <c r="Q70" s="146" t="str">
        <f>LOOKUP($K70,PantheonList!$A$18:$A$139,PantheonList!$G$18:$G$139)</f>
        <v>Stealth</v>
      </c>
      <c r="R70" s="146" t="str">
        <f t="shared" si="12"/>
        <v>No</v>
      </c>
      <c r="S70" s="146" t="str">
        <f t="shared" si="12"/>
        <v>No</v>
      </c>
      <c r="T70" s="146" t="str">
        <f t="shared" si="12"/>
        <v>No</v>
      </c>
      <c r="U70" s="146" t="str">
        <f t="shared" si="12"/>
        <v>No</v>
      </c>
      <c r="V70" s="146" t="str">
        <f t="shared" si="12"/>
        <v>Yes</v>
      </c>
      <c r="W70" s="146" t="str">
        <f t="shared" si="12"/>
        <v>No</v>
      </c>
      <c r="X70" s="146" t="str">
        <f t="shared" si="12"/>
        <v>No</v>
      </c>
      <c r="Y70" s="146" t="str">
        <f t="shared" si="12"/>
        <v>No</v>
      </c>
      <c r="Z70" s="146" t="str">
        <f t="shared" si="12"/>
        <v>No</v>
      </c>
      <c r="AA70" s="146" t="str">
        <f t="shared" si="12"/>
        <v>Yes</v>
      </c>
      <c r="AB70" s="146" t="str">
        <f t="shared" si="13"/>
        <v>Yes</v>
      </c>
      <c r="AC70" s="146" t="str">
        <f t="shared" si="13"/>
        <v>Yes</v>
      </c>
      <c r="AD70" s="146" t="str">
        <f t="shared" si="13"/>
        <v>No</v>
      </c>
      <c r="AE70" s="146" t="str">
        <f t="shared" si="13"/>
        <v>Yes</v>
      </c>
      <c r="AF70" s="146" t="str">
        <f t="shared" si="13"/>
        <v>No</v>
      </c>
      <c r="AG70" s="146" t="str">
        <f t="shared" si="13"/>
        <v>No</v>
      </c>
      <c r="AH70" s="146" t="str">
        <f t="shared" si="13"/>
        <v>No</v>
      </c>
      <c r="AI70" s="146" t="str">
        <f t="shared" si="13"/>
        <v>No</v>
      </c>
      <c r="AJ70" s="146" t="str">
        <f t="shared" si="13"/>
        <v>No</v>
      </c>
      <c r="AK70" s="146" t="str">
        <f t="shared" si="13"/>
        <v>No</v>
      </c>
      <c r="AL70" s="146" t="str">
        <f t="shared" si="13"/>
        <v>No</v>
      </c>
      <c r="AM70" s="146" t="str">
        <f t="shared" si="13"/>
        <v>Yes</v>
      </c>
      <c r="AN70" s="146" t="str">
        <f t="shared" si="13"/>
        <v>No</v>
      </c>
      <c r="AO70" s="149" t="str">
        <f t="shared" si="13"/>
        <v>No</v>
      </c>
      <c r="AP70" s="181" t="s">
        <v>223</v>
      </c>
      <c r="AQ70" s="146">
        <v>70</v>
      </c>
      <c r="AR70" s="146" t="s">
        <v>360</v>
      </c>
      <c r="AS70" s="146" t="s">
        <v>361</v>
      </c>
      <c r="AT70" s="146" t="s">
        <v>361</v>
      </c>
      <c r="AU70" s="146" t="s">
        <v>361</v>
      </c>
      <c r="AV70" s="146" t="s">
        <v>361</v>
      </c>
      <c r="AW70" s="146" t="s">
        <v>361</v>
      </c>
      <c r="AX70" s="146" t="s">
        <v>360</v>
      </c>
      <c r="AY70" s="146" t="s">
        <v>361</v>
      </c>
      <c r="AZ70" s="146" t="s">
        <v>361</v>
      </c>
      <c r="BA70" s="146" t="s">
        <v>361</v>
      </c>
      <c r="BB70" s="146" t="s">
        <v>361</v>
      </c>
      <c r="BC70" s="146" t="s">
        <v>361</v>
      </c>
      <c r="BD70" s="146" t="s">
        <v>361</v>
      </c>
      <c r="BE70" s="146" t="s">
        <v>361</v>
      </c>
      <c r="BF70" s="146" t="s">
        <v>361</v>
      </c>
      <c r="BG70" s="146" t="s">
        <v>361</v>
      </c>
      <c r="BH70" s="146" t="s">
        <v>361</v>
      </c>
      <c r="BI70" s="146" t="s">
        <v>361</v>
      </c>
      <c r="BJ70" s="146" t="s">
        <v>361</v>
      </c>
      <c r="BK70" s="146" t="s">
        <v>361</v>
      </c>
      <c r="BL70" s="146" t="s">
        <v>361</v>
      </c>
      <c r="BM70" s="146" t="s">
        <v>361</v>
      </c>
      <c r="BN70" s="146" t="s">
        <v>361</v>
      </c>
      <c r="BO70" s="146" t="s">
        <v>361</v>
      </c>
      <c r="BP70" s="146" t="s">
        <v>361</v>
      </c>
      <c r="BQ70" s="146" t="s">
        <v>361</v>
      </c>
      <c r="BR70" s="146" t="s">
        <v>361</v>
      </c>
      <c r="BS70" s="146" t="s">
        <v>361</v>
      </c>
      <c r="BT70" s="146" t="s">
        <v>361</v>
      </c>
      <c r="BU70" s="146" t="s">
        <v>361</v>
      </c>
      <c r="BV70" s="146" t="s">
        <v>360</v>
      </c>
      <c r="BW70" s="146" t="s">
        <v>361</v>
      </c>
      <c r="BX70" s="146" t="s">
        <v>360</v>
      </c>
      <c r="BY70" s="146" t="s">
        <v>361</v>
      </c>
      <c r="BZ70" s="149" t="s">
        <v>361</v>
      </c>
    </row>
    <row r="71" spans="1:78" s="2" customFormat="1" x14ac:dyDescent="0.25">
      <c r="A71" s="181" t="s">
        <v>229</v>
      </c>
      <c r="B71" s="146" t="s">
        <v>361</v>
      </c>
      <c r="C71" s="146" t="s">
        <v>361</v>
      </c>
      <c r="D71" s="146" t="s">
        <v>361</v>
      </c>
      <c r="E71" s="146" t="s">
        <v>360</v>
      </c>
      <c r="F71" s="146" t="s">
        <v>361</v>
      </c>
      <c r="G71" s="146" t="s">
        <v>360</v>
      </c>
      <c r="H71" s="146" t="s">
        <v>361</v>
      </c>
      <c r="I71" s="146" t="s">
        <v>361</v>
      </c>
      <c r="J71" s="149" t="s">
        <v>361</v>
      </c>
      <c r="K71" s="181" t="s">
        <v>229</v>
      </c>
      <c r="L71" s="146" t="str">
        <f>LOOKUP($K71,PantheonList!$A$18:$A$139,PantheonList!$B$18:$B$139)</f>
        <v>Command</v>
      </c>
      <c r="M71" s="146" t="str">
        <f>LOOKUP($K71,PantheonList!$A$18:$A$139,PantheonList!$C$18:$C$139)</f>
        <v>Investigation</v>
      </c>
      <c r="N71" s="146" t="str">
        <f>LOOKUP($K71,PantheonList!$A$18:$A$139,PantheonList!$D$18:$D$139)</f>
        <v>Larceny</v>
      </c>
      <c r="O71" s="146" t="str">
        <f>LOOKUP($K71,PantheonList!$A$18:$A$139,PantheonList!$E$18:$E$139)</f>
        <v>Politics</v>
      </c>
      <c r="P71" s="146" t="str">
        <f>LOOKUP($K71,PantheonList!$A$18:$A$139,PantheonList!$F$18:$F$139)</f>
        <v>Presence</v>
      </c>
      <c r="Q71" s="146" t="str">
        <f>LOOKUP($K71,PantheonList!$A$18:$A$139,PantheonList!$G$18:$G$139)</f>
        <v>Thrown</v>
      </c>
      <c r="R71" s="146" t="str">
        <f t="shared" si="12"/>
        <v>No</v>
      </c>
      <c r="S71" s="146" t="str">
        <f t="shared" si="12"/>
        <v>No</v>
      </c>
      <c r="T71" s="146" t="str">
        <f t="shared" si="12"/>
        <v>No</v>
      </c>
      <c r="U71" s="146" t="str">
        <f t="shared" si="12"/>
        <v>No</v>
      </c>
      <c r="V71" s="146" t="str">
        <f t="shared" si="12"/>
        <v>No</v>
      </c>
      <c r="W71" s="146" t="str">
        <f t="shared" si="12"/>
        <v>No</v>
      </c>
      <c r="X71" s="146" t="str">
        <f t="shared" si="12"/>
        <v>Yes</v>
      </c>
      <c r="Y71" s="146" t="str">
        <f t="shared" si="12"/>
        <v>No</v>
      </c>
      <c r="Z71" s="146" t="str">
        <f t="shared" si="12"/>
        <v>No</v>
      </c>
      <c r="AA71" s="146" t="str">
        <f t="shared" si="12"/>
        <v>No</v>
      </c>
      <c r="AB71" s="146" t="str">
        <f t="shared" si="13"/>
        <v>No</v>
      </c>
      <c r="AC71" s="146" t="str">
        <f t="shared" si="13"/>
        <v>No</v>
      </c>
      <c r="AD71" s="146" t="str">
        <f t="shared" si="13"/>
        <v>Yes</v>
      </c>
      <c r="AE71" s="146" t="str">
        <f t="shared" si="13"/>
        <v>Yes</v>
      </c>
      <c r="AF71" s="146" t="str">
        <f t="shared" si="13"/>
        <v>No</v>
      </c>
      <c r="AG71" s="146" t="str">
        <f t="shared" si="13"/>
        <v>No</v>
      </c>
      <c r="AH71" s="146" t="str">
        <f t="shared" si="13"/>
        <v>No</v>
      </c>
      <c r="AI71" s="146" t="str">
        <f t="shared" si="13"/>
        <v>No</v>
      </c>
      <c r="AJ71" s="146" t="str">
        <f t="shared" si="13"/>
        <v>Yes</v>
      </c>
      <c r="AK71" s="146" t="str">
        <f t="shared" si="13"/>
        <v>Yes</v>
      </c>
      <c r="AL71" s="146" t="str">
        <f t="shared" si="13"/>
        <v>No</v>
      </c>
      <c r="AM71" s="146" t="str">
        <f t="shared" si="13"/>
        <v>No</v>
      </c>
      <c r="AN71" s="146" t="str">
        <f t="shared" si="13"/>
        <v>No</v>
      </c>
      <c r="AO71" s="149" t="str">
        <f t="shared" si="13"/>
        <v>Yes</v>
      </c>
      <c r="AP71" s="181" t="s">
        <v>229</v>
      </c>
      <c r="AQ71" s="146">
        <v>71</v>
      </c>
      <c r="AR71" s="146" t="s">
        <v>360</v>
      </c>
      <c r="AS71" s="146" t="s">
        <v>361</v>
      </c>
      <c r="AT71" s="146" t="s">
        <v>361</v>
      </c>
      <c r="AU71" s="146" t="s">
        <v>361</v>
      </c>
      <c r="AV71" s="146" t="s">
        <v>361</v>
      </c>
      <c r="AW71" s="146" t="s">
        <v>361</v>
      </c>
      <c r="AX71" s="146" t="s">
        <v>361</v>
      </c>
      <c r="AY71" s="146" t="s">
        <v>360</v>
      </c>
      <c r="AZ71" s="146" t="s">
        <v>361</v>
      </c>
      <c r="BA71" s="146" t="s">
        <v>361</v>
      </c>
      <c r="BB71" s="146" t="s">
        <v>361</v>
      </c>
      <c r="BC71" s="146" t="s">
        <v>361</v>
      </c>
      <c r="BD71" s="146" t="s">
        <v>361</v>
      </c>
      <c r="BE71" s="146" t="s">
        <v>360</v>
      </c>
      <c r="BF71" s="146" t="s">
        <v>361</v>
      </c>
      <c r="BG71" s="146" t="s">
        <v>361</v>
      </c>
      <c r="BH71" s="146" t="s">
        <v>361</v>
      </c>
      <c r="BI71" s="146" t="s">
        <v>361</v>
      </c>
      <c r="BJ71" s="146" t="s">
        <v>360</v>
      </c>
      <c r="BK71" s="146" t="s">
        <v>361</v>
      </c>
      <c r="BL71" s="146" t="s">
        <v>361</v>
      </c>
      <c r="BM71" s="146" t="s">
        <v>361</v>
      </c>
      <c r="BN71" s="146" t="s">
        <v>361</v>
      </c>
      <c r="BO71" s="146" t="s">
        <v>361</v>
      </c>
      <c r="BP71" s="146" t="s">
        <v>361</v>
      </c>
      <c r="BQ71" s="146" t="s">
        <v>361</v>
      </c>
      <c r="BR71" s="146" t="s">
        <v>361</v>
      </c>
      <c r="BS71" s="146" t="s">
        <v>361</v>
      </c>
      <c r="BT71" s="146" t="s">
        <v>361</v>
      </c>
      <c r="BU71" s="146" t="s">
        <v>361</v>
      </c>
      <c r="BV71" s="146" t="s">
        <v>361</v>
      </c>
      <c r="BW71" s="146" t="s">
        <v>361</v>
      </c>
      <c r="BX71" s="146" t="s">
        <v>361</v>
      </c>
      <c r="BY71" s="146" t="s">
        <v>361</v>
      </c>
      <c r="BZ71" s="149" t="s">
        <v>361</v>
      </c>
    </row>
    <row r="72" spans="1:78" s="2" customFormat="1" x14ac:dyDescent="0.25">
      <c r="A72" s="181" t="s">
        <v>308</v>
      </c>
      <c r="B72" s="146" t="s">
        <v>360</v>
      </c>
      <c r="C72" s="146" t="s">
        <v>361</v>
      </c>
      <c r="D72" s="146" t="s">
        <v>361</v>
      </c>
      <c r="E72" s="146" t="s">
        <v>360</v>
      </c>
      <c r="F72" s="146" t="s">
        <v>361</v>
      </c>
      <c r="G72" s="146" t="s">
        <v>361</v>
      </c>
      <c r="H72" s="146" t="s">
        <v>361</v>
      </c>
      <c r="I72" s="146" t="s">
        <v>361</v>
      </c>
      <c r="J72" s="149" t="s">
        <v>361</v>
      </c>
      <c r="K72" s="181" t="s">
        <v>308</v>
      </c>
      <c r="L72" s="146" t="str">
        <f>LOOKUP($K72,PantheonList!$A$18:$A$139,PantheonList!$B$18:$B$139)</f>
        <v>Command</v>
      </c>
      <c r="M72" s="146" t="str">
        <f>LOOKUP($K72,PantheonList!$A$18:$A$139,PantheonList!$C$18:$C$139)</f>
        <v>Integrity</v>
      </c>
      <c r="N72" s="146" t="str">
        <f>LOOKUP($K72,PantheonList!$A$18:$A$139,PantheonList!$D$18:$D$139)</f>
        <v>Investigation</v>
      </c>
      <c r="O72" s="146" t="str">
        <f>LOOKUP($K72,PantheonList!$A$18:$A$139,PantheonList!$E$18:$E$139)</f>
        <v>Melee</v>
      </c>
      <c r="P72" s="146" t="str">
        <f>LOOKUP($K72,PantheonList!$A$18:$A$139,PantheonList!$F$18:$F$139)</f>
        <v>Politics</v>
      </c>
      <c r="Q72" s="146" t="str">
        <f>LOOKUP($K72,PantheonList!$A$18:$A$139,PantheonList!$G$18:$G$139)</f>
        <v>Presence</v>
      </c>
      <c r="R72" s="146" t="str">
        <f t="shared" ref="R72:AA81" si="14">IF(OR($Q72=R$1,$P72=R$1,$O72=R$1,$N72=R$1,$M72=R$1,$L72=R$1),"Yes","No")</f>
        <v>No</v>
      </c>
      <c r="S72" s="146" t="str">
        <f t="shared" si="14"/>
        <v>No</v>
      </c>
      <c r="T72" s="146" t="str">
        <f t="shared" si="14"/>
        <v>No</v>
      </c>
      <c r="U72" s="146" t="str">
        <f t="shared" si="14"/>
        <v>No</v>
      </c>
      <c r="V72" s="146" t="str">
        <f t="shared" si="14"/>
        <v>No</v>
      </c>
      <c r="W72" s="146" t="str">
        <f t="shared" si="14"/>
        <v>No</v>
      </c>
      <c r="X72" s="146" t="str">
        <f t="shared" si="14"/>
        <v>Yes</v>
      </c>
      <c r="Y72" s="146" t="str">
        <f t="shared" si="14"/>
        <v>No</v>
      </c>
      <c r="Z72" s="146" t="str">
        <f t="shared" si="14"/>
        <v>No</v>
      </c>
      <c r="AA72" s="146" t="str">
        <f t="shared" si="14"/>
        <v>No</v>
      </c>
      <c r="AB72" s="146" t="str">
        <f t="shared" ref="AB72:AO81" si="15">IF(OR($Q72=AB$1,$P72=AB$1,$O72=AB$1,$N72=AB$1,$M72=AB$1,$L72=AB$1),"Yes","No")</f>
        <v>No</v>
      </c>
      <c r="AC72" s="146" t="str">
        <f t="shared" si="15"/>
        <v>Yes</v>
      </c>
      <c r="AD72" s="146" t="str">
        <f t="shared" si="15"/>
        <v>Yes</v>
      </c>
      <c r="AE72" s="146" t="str">
        <f t="shared" si="15"/>
        <v>No</v>
      </c>
      <c r="AF72" s="146" t="str">
        <f t="shared" si="15"/>
        <v>No</v>
      </c>
      <c r="AG72" s="146" t="str">
        <f t="shared" si="15"/>
        <v>No</v>
      </c>
      <c r="AH72" s="146" t="str">
        <f t="shared" si="15"/>
        <v>Yes</v>
      </c>
      <c r="AI72" s="146" t="str">
        <f t="shared" si="15"/>
        <v>No</v>
      </c>
      <c r="AJ72" s="146" t="str">
        <f t="shared" si="15"/>
        <v>Yes</v>
      </c>
      <c r="AK72" s="146" t="str">
        <f t="shared" si="15"/>
        <v>Yes</v>
      </c>
      <c r="AL72" s="146" t="str">
        <f t="shared" si="15"/>
        <v>No</v>
      </c>
      <c r="AM72" s="146" t="str">
        <f t="shared" si="15"/>
        <v>No</v>
      </c>
      <c r="AN72" s="146" t="str">
        <f t="shared" si="15"/>
        <v>No</v>
      </c>
      <c r="AO72" s="149" t="str">
        <f t="shared" si="15"/>
        <v>No</v>
      </c>
      <c r="AP72" s="181" t="s">
        <v>308</v>
      </c>
      <c r="AQ72" s="146">
        <v>72</v>
      </c>
      <c r="AR72" s="146" t="s">
        <v>361</v>
      </c>
      <c r="AS72" s="146" t="s">
        <v>361</v>
      </c>
      <c r="AT72" s="146" t="s">
        <v>360</v>
      </c>
      <c r="AU72" s="146" t="s">
        <v>361</v>
      </c>
      <c r="AV72" s="146" t="s">
        <v>361</v>
      </c>
      <c r="AW72" s="146" t="s">
        <v>361</v>
      </c>
      <c r="AX72" s="146" t="s">
        <v>361</v>
      </c>
      <c r="AY72" s="146" t="s">
        <v>361</v>
      </c>
      <c r="AZ72" s="146" t="s">
        <v>361</v>
      </c>
      <c r="BA72" s="146" t="s">
        <v>361</v>
      </c>
      <c r="BB72" s="146" t="s">
        <v>361</v>
      </c>
      <c r="BC72" s="146" t="s">
        <v>360</v>
      </c>
      <c r="BD72" s="146" t="s">
        <v>361</v>
      </c>
      <c r="BE72" s="146" t="s">
        <v>361</v>
      </c>
      <c r="BF72" s="146" t="s">
        <v>361</v>
      </c>
      <c r="BG72" s="146" t="s">
        <v>361</v>
      </c>
      <c r="BH72" s="146" t="s">
        <v>361</v>
      </c>
      <c r="BI72" s="146" t="s">
        <v>361</v>
      </c>
      <c r="BJ72" s="146" t="s">
        <v>361</v>
      </c>
      <c r="BK72" s="146" t="s">
        <v>361</v>
      </c>
      <c r="BL72" s="146" t="s">
        <v>360</v>
      </c>
      <c r="BM72" s="146" t="s">
        <v>361</v>
      </c>
      <c r="BN72" s="146" t="s">
        <v>361</v>
      </c>
      <c r="BO72" s="146" t="s">
        <v>361</v>
      </c>
      <c r="BP72" s="146" t="s">
        <v>361</v>
      </c>
      <c r="BQ72" s="146" t="s">
        <v>360</v>
      </c>
      <c r="BR72" s="146" t="s">
        <v>361</v>
      </c>
      <c r="BS72" s="146" t="s">
        <v>361</v>
      </c>
      <c r="BT72" s="146" t="s">
        <v>361</v>
      </c>
      <c r="BU72" s="146" t="s">
        <v>361</v>
      </c>
      <c r="BV72" s="146" t="s">
        <v>360</v>
      </c>
      <c r="BW72" s="146" t="s">
        <v>361</v>
      </c>
      <c r="BX72" s="146" t="s">
        <v>361</v>
      </c>
      <c r="BY72" s="146" t="s">
        <v>360</v>
      </c>
      <c r="BZ72" s="149" t="s">
        <v>361</v>
      </c>
    </row>
    <row r="73" spans="1:78" s="2" customFormat="1" x14ac:dyDescent="0.25">
      <c r="A73" s="181" t="s">
        <v>701</v>
      </c>
      <c r="B73" s="146" t="s">
        <v>360</v>
      </c>
      <c r="C73" s="146" t="s">
        <v>361</v>
      </c>
      <c r="D73" s="146" t="s">
        <v>361</v>
      </c>
      <c r="E73" s="146" t="s">
        <v>361</v>
      </c>
      <c r="F73" s="146" t="s">
        <v>361</v>
      </c>
      <c r="G73" s="146" t="s">
        <v>360</v>
      </c>
      <c r="H73" s="146" t="s">
        <v>361</v>
      </c>
      <c r="I73" s="146" t="s">
        <v>361</v>
      </c>
      <c r="J73" s="149" t="s">
        <v>361</v>
      </c>
      <c r="K73" s="181" t="s">
        <v>701</v>
      </c>
      <c r="L73" s="146" t="str">
        <f>LOOKUP($K73,PantheonList!$A$18:$A$139,PantheonList!$B$18:$B$139)</f>
        <v>Animal Ken</v>
      </c>
      <c r="M73" s="146" t="str">
        <f>LOOKUP($K73,PantheonList!$A$18:$A$139,PantheonList!$C$18:$C$139)</f>
        <v>Brawl</v>
      </c>
      <c r="N73" s="146" t="str">
        <f>LOOKUP($K73,PantheonList!$A$18:$A$139,PantheonList!$D$18:$D$139)</f>
        <v>Fortitude</v>
      </c>
      <c r="O73" s="146" t="str">
        <f>LOOKUP($K73,PantheonList!$A$18:$A$139,PantheonList!$E$18:$E$139)</f>
        <v>Marksmanship</v>
      </c>
      <c r="P73" s="146" t="str">
        <f>LOOKUP($K73,PantheonList!$A$18:$A$139,PantheonList!$F$18:$F$139)</f>
        <v>Melee</v>
      </c>
      <c r="Q73" s="146" t="str">
        <f>LOOKUP($K73,PantheonList!$A$18:$A$139,PantheonList!$G$18:$G$139)</f>
        <v>Thrown</v>
      </c>
      <c r="R73" s="146" t="str">
        <f t="shared" si="14"/>
        <v>No</v>
      </c>
      <c r="S73" s="146" t="str">
        <f t="shared" si="14"/>
        <v>Yes</v>
      </c>
      <c r="T73" s="146" t="str">
        <f t="shared" si="14"/>
        <v>No</v>
      </c>
      <c r="U73" s="146" t="str">
        <f t="shared" si="14"/>
        <v>No</v>
      </c>
      <c r="V73" s="146" t="str">
        <f t="shared" si="14"/>
        <v>No</v>
      </c>
      <c r="W73" s="146" t="str">
        <f t="shared" si="14"/>
        <v>Yes</v>
      </c>
      <c r="X73" s="146" t="str">
        <f t="shared" si="14"/>
        <v>No</v>
      </c>
      <c r="Y73" s="146" t="str">
        <f t="shared" si="14"/>
        <v>No</v>
      </c>
      <c r="Z73" s="146" t="str">
        <f t="shared" si="14"/>
        <v>No</v>
      </c>
      <c r="AA73" s="146" t="str">
        <f t="shared" si="14"/>
        <v>No</v>
      </c>
      <c r="AB73" s="146" t="str">
        <f t="shared" si="15"/>
        <v>Yes</v>
      </c>
      <c r="AC73" s="146" t="str">
        <f t="shared" si="15"/>
        <v>No</v>
      </c>
      <c r="AD73" s="146" t="str">
        <f t="shared" si="15"/>
        <v>No</v>
      </c>
      <c r="AE73" s="146" t="str">
        <f t="shared" si="15"/>
        <v>No</v>
      </c>
      <c r="AF73" s="146" t="str">
        <f t="shared" si="15"/>
        <v>Yes</v>
      </c>
      <c r="AG73" s="146" t="str">
        <f t="shared" si="15"/>
        <v>No</v>
      </c>
      <c r="AH73" s="146" t="str">
        <f t="shared" si="15"/>
        <v>Yes</v>
      </c>
      <c r="AI73" s="146" t="str">
        <f t="shared" si="15"/>
        <v>No</v>
      </c>
      <c r="AJ73" s="146" t="str">
        <f t="shared" si="15"/>
        <v>No</v>
      </c>
      <c r="AK73" s="146" t="str">
        <f t="shared" si="15"/>
        <v>No</v>
      </c>
      <c r="AL73" s="146" t="str">
        <f t="shared" si="15"/>
        <v>No</v>
      </c>
      <c r="AM73" s="146" t="str">
        <f t="shared" si="15"/>
        <v>No</v>
      </c>
      <c r="AN73" s="146" t="str">
        <f t="shared" si="15"/>
        <v>No</v>
      </c>
      <c r="AO73" s="149" t="str">
        <f t="shared" si="15"/>
        <v>Yes</v>
      </c>
      <c r="AP73" s="181" t="s">
        <v>701</v>
      </c>
      <c r="AQ73" s="146">
        <v>73</v>
      </c>
      <c r="AR73" s="146" t="s">
        <v>360</v>
      </c>
      <c r="AS73" s="146" t="s">
        <v>361</v>
      </c>
      <c r="AT73" s="146" t="s">
        <v>361</v>
      </c>
      <c r="AU73" s="146" t="s">
        <v>360</v>
      </c>
      <c r="AV73" s="146" t="s">
        <v>361</v>
      </c>
      <c r="AW73" s="146" t="s">
        <v>361</v>
      </c>
      <c r="AX73" s="146" t="s">
        <v>361</v>
      </c>
      <c r="AY73" s="146" t="s">
        <v>360</v>
      </c>
      <c r="AZ73" s="146" t="s">
        <v>361</v>
      </c>
      <c r="BA73" s="146" t="s">
        <v>360</v>
      </c>
      <c r="BB73" s="146" t="s">
        <v>360</v>
      </c>
      <c r="BC73" s="146" t="s">
        <v>361</v>
      </c>
      <c r="BD73" s="146" t="s">
        <v>361</v>
      </c>
      <c r="BE73" s="146" t="s">
        <v>361</v>
      </c>
      <c r="BF73" s="146" t="s">
        <v>361</v>
      </c>
      <c r="BG73" s="146" t="s">
        <v>361</v>
      </c>
      <c r="BH73" s="146" t="s">
        <v>361</v>
      </c>
      <c r="BI73" s="146" t="s">
        <v>361</v>
      </c>
      <c r="BJ73" s="146" t="s">
        <v>361</v>
      </c>
      <c r="BK73" s="146" t="s">
        <v>361</v>
      </c>
      <c r="BL73" s="146" t="s">
        <v>361</v>
      </c>
      <c r="BM73" s="146" t="s">
        <v>361</v>
      </c>
      <c r="BN73" s="146" t="s">
        <v>361</v>
      </c>
      <c r="BO73" s="146" t="s">
        <v>361</v>
      </c>
      <c r="BP73" s="146" t="s">
        <v>360</v>
      </c>
      <c r="BQ73" s="146" t="s">
        <v>361</v>
      </c>
      <c r="BR73" s="146" t="s">
        <v>361</v>
      </c>
      <c r="BS73" s="146" t="s">
        <v>361</v>
      </c>
      <c r="BT73" s="146" t="s">
        <v>361</v>
      </c>
      <c r="BU73" s="146" t="s">
        <v>361</v>
      </c>
      <c r="BV73" s="146" t="s">
        <v>361</v>
      </c>
      <c r="BW73" s="146" t="s">
        <v>361</v>
      </c>
      <c r="BX73" s="146" t="s">
        <v>361</v>
      </c>
      <c r="BY73" s="146" t="s">
        <v>360</v>
      </c>
      <c r="BZ73" s="149" t="s">
        <v>361</v>
      </c>
    </row>
    <row r="74" spans="1:78" s="2" customFormat="1" x14ac:dyDescent="0.25">
      <c r="A74" s="181" t="s">
        <v>242</v>
      </c>
      <c r="B74" s="146" t="s">
        <v>360</v>
      </c>
      <c r="C74" s="146" t="s">
        <v>360</v>
      </c>
      <c r="D74" s="146" t="s">
        <v>361</v>
      </c>
      <c r="E74" s="146" t="s">
        <v>361</v>
      </c>
      <c r="F74" s="146" t="s">
        <v>361</v>
      </c>
      <c r="G74" s="146" t="s">
        <v>361</v>
      </c>
      <c r="H74" s="146" t="s">
        <v>361</v>
      </c>
      <c r="I74" s="146" t="s">
        <v>361</v>
      </c>
      <c r="J74" s="149" t="s">
        <v>360</v>
      </c>
      <c r="K74" s="181" t="s">
        <v>242</v>
      </c>
      <c r="L74" s="146" t="str">
        <f>LOOKUP($K74,PantheonList!$A$18:$A$139,PantheonList!$B$18:$B$139)</f>
        <v>Athletics</v>
      </c>
      <c r="M74" s="146" t="str">
        <f>LOOKUP($K74,PantheonList!$A$18:$A$139,PantheonList!$C$18:$C$139)</f>
        <v>Brawl</v>
      </c>
      <c r="N74" s="146" t="str">
        <f>LOOKUP($K74,PantheonList!$A$18:$A$139,PantheonList!$D$18:$D$139)</f>
        <v>Control</v>
      </c>
      <c r="O74" s="146" t="str">
        <f>LOOKUP($K74,PantheonList!$A$18:$A$139,PantheonList!$E$18:$E$139)</f>
        <v>Larceny</v>
      </c>
      <c r="P74" s="146" t="str">
        <f>LOOKUP($K74,PantheonList!$A$18:$A$139,PantheonList!$F$18:$F$139)</f>
        <v>Melee</v>
      </c>
      <c r="Q74" s="146" t="str">
        <f>LOOKUP($K74,PantheonList!$A$18:$A$139,PantheonList!$G$18:$G$139)</f>
        <v>Thrown</v>
      </c>
      <c r="R74" s="146" t="str">
        <f t="shared" si="14"/>
        <v>No</v>
      </c>
      <c r="S74" s="146" t="str">
        <f t="shared" si="14"/>
        <v>No</v>
      </c>
      <c r="T74" s="146" t="str">
        <f t="shared" si="14"/>
        <v>No</v>
      </c>
      <c r="U74" s="146" t="str">
        <f t="shared" si="14"/>
        <v>Yes</v>
      </c>
      <c r="V74" s="146" t="str">
        <f t="shared" si="14"/>
        <v>No</v>
      </c>
      <c r="W74" s="146" t="str">
        <f t="shared" si="14"/>
        <v>Yes</v>
      </c>
      <c r="X74" s="146" t="str">
        <f t="shared" si="14"/>
        <v>No</v>
      </c>
      <c r="Y74" s="146" t="str">
        <f t="shared" si="14"/>
        <v>Yes</v>
      </c>
      <c r="Z74" s="146" t="str">
        <f t="shared" si="14"/>
        <v>No</v>
      </c>
      <c r="AA74" s="146" t="str">
        <f t="shared" si="14"/>
        <v>No</v>
      </c>
      <c r="AB74" s="146" t="str">
        <f t="shared" si="15"/>
        <v>No</v>
      </c>
      <c r="AC74" s="146" t="str">
        <f t="shared" si="15"/>
        <v>No</v>
      </c>
      <c r="AD74" s="146" t="str">
        <f t="shared" si="15"/>
        <v>No</v>
      </c>
      <c r="AE74" s="146" t="str">
        <f t="shared" si="15"/>
        <v>Yes</v>
      </c>
      <c r="AF74" s="146" t="str">
        <f t="shared" si="15"/>
        <v>No</v>
      </c>
      <c r="AG74" s="146" t="str">
        <f t="shared" si="15"/>
        <v>No</v>
      </c>
      <c r="AH74" s="146" t="str">
        <f t="shared" si="15"/>
        <v>Yes</v>
      </c>
      <c r="AI74" s="146" t="str">
        <f t="shared" si="15"/>
        <v>No</v>
      </c>
      <c r="AJ74" s="146" t="str">
        <f t="shared" si="15"/>
        <v>No</v>
      </c>
      <c r="AK74" s="146" t="str">
        <f t="shared" si="15"/>
        <v>No</v>
      </c>
      <c r="AL74" s="146" t="str">
        <f t="shared" si="15"/>
        <v>No</v>
      </c>
      <c r="AM74" s="146" t="str">
        <f t="shared" si="15"/>
        <v>No</v>
      </c>
      <c r="AN74" s="146" t="str">
        <f t="shared" si="15"/>
        <v>No</v>
      </c>
      <c r="AO74" s="149" t="str">
        <f t="shared" si="15"/>
        <v>Yes</v>
      </c>
      <c r="AP74" s="181" t="s">
        <v>242</v>
      </c>
      <c r="AQ74" s="146">
        <v>74</v>
      </c>
      <c r="AR74" s="146" t="s">
        <v>361</v>
      </c>
      <c r="AS74" s="146" t="s">
        <v>361</v>
      </c>
      <c r="AT74" s="146" t="s">
        <v>361</v>
      </c>
      <c r="AU74" s="146" t="s">
        <v>361</v>
      </c>
      <c r="AV74" s="146" t="s">
        <v>361</v>
      </c>
      <c r="AW74" s="146" t="s">
        <v>361</v>
      </c>
      <c r="AX74" s="146" t="s">
        <v>361</v>
      </c>
      <c r="AY74" s="146" t="s">
        <v>361</v>
      </c>
      <c r="AZ74" s="146" t="s">
        <v>361</v>
      </c>
      <c r="BA74" s="146" t="s">
        <v>361</v>
      </c>
      <c r="BB74" s="146" t="s">
        <v>361</v>
      </c>
      <c r="BC74" s="146" t="s">
        <v>360</v>
      </c>
      <c r="BD74" s="146" t="s">
        <v>361</v>
      </c>
      <c r="BE74" s="146" t="s">
        <v>361</v>
      </c>
      <c r="BF74" s="146" t="s">
        <v>361</v>
      </c>
      <c r="BG74" s="146" t="s">
        <v>361</v>
      </c>
      <c r="BH74" s="146" t="s">
        <v>361</v>
      </c>
      <c r="BI74" s="146" t="s">
        <v>361</v>
      </c>
      <c r="BJ74" s="146" t="s">
        <v>361</v>
      </c>
      <c r="BK74" s="146" t="s">
        <v>361</v>
      </c>
      <c r="BL74" s="146" t="s">
        <v>361</v>
      </c>
      <c r="BM74" s="146" t="s">
        <v>361</v>
      </c>
      <c r="BN74" s="146" t="s">
        <v>361</v>
      </c>
      <c r="BO74" s="146" t="s">
        <v>361</v>
      </c>
      <c r="BP74" s="146" t="s">
        <v>361</v>
      </c>
      <c r="BQ74" s="146" t="s">
        <v>361</v>
      </c>
      <c r="BR74" s="146" t="s">
        <v>361</v>
      </c>
      <c r="BS74" s="146" t="s">
        <v>361</v>
      </c>
      <c r="BT74" s="146" t="s">
        <v>360</v>
      </c>
      <c r="BU74" s="146" t="s">
        <v>361</v>
      </c>
      <c r="BV74" s="146" t="s">
        <v>361</v>
      </c>
      <c r="BW74" s="146" t="s">
        <v>360</v>
      </c>
      <c r="BX74" s="146" t="s">
        <v>361</v>
      </c>
      <c r="BY74" s="146" t="s">
        <v>360</v>
      </c>
      <c r="BZ74" s="149" t="s">
        <v>361</v>
      </c>
    </row>
    <row r="75" spans="1:78" s="2" customFormat="1" x14ac:dyDescent="0.25">
      <c r="A75" s="181" t="s">
        <v>212</v>
      </c>
      <c r="B75" s="146" t="s">
        <v>361</v>
      </c>
      <c r="C75" s="146" t="s">
        <v>361</v>
      </c>
      <c r="D75" s="146" t="s">
        <v>360</v>
      </c>
      <c r="E75" s="146" t="s">
        <v>361</v>
      </c>
      <c r="F75" s="146" t="s">
        <v>361</v>
      </c>
      <c r="G75" s="146" t="s">
        <v>361</v>
      </c>
      <c r="H75" s="146" t="s">
        <v>361</v>
      </c>
      <c r="I75" s="146" t="s">
        <v>361</v>
      </c>
      <c r="J75" s="149" t="s">
        <v>361</v>
      </c>
      <c r="K75" s="181" t="s">
        <v>212</v>
      </c>
      <c r="L75" s="146" t="str">
        <f>LOOKUP($K75,PantheonList!$A$18:$A$139,PantheonList!$B$18:$B$139)</f>
        <v>Athletics</v>
      </c>
      <c r="M75" s="146" t="str">
        <f>LOOKUP($K75,PantheonList!$A$18:$A$139,PantheonList!$C$18:$C$139)</f>
        <v>Awareness</v>
      </c>
      <c r="N75" s="146" t="str">
        <f>LOOKUP($K75,PantheonList!$A$18:$A$139,PantheonList!$D$18:$D$139)</f>
        <v>Control</v>
      </c>
      <c r="O75" s="146" t="str">
        <f>LOOKUP($K75,PantheonList!$A$18:$A$139,PantheonList!$E$18:$E$139)</f>
        <v>Fortitude</v>
      </c>
      <c r="P75" s="146" t="str">
        <f>LOOKUP($K75,PantheonList!$A$18:$A$139,PantheonList!$F$18:$F$139)</f>
        <v>Stealth</v>
      </c>
      <c r="Q75" s="146" t="str">
        <f>LOOKUP($K75,PantheonList!$A$18:$A$139,PantheonList!$G$18:$G$139)</f>
        <v>Survival</v>
      </c>
      <c r="R75" s="146" t="str">
        <f t="shared" si="14"/>
        <v>No</v>
      </c>
      <c r="S75" s="146" t="str">
        <f t="shared" si="14"/>
        <v>No</v>
      </c>
      <c r="T75" s="146" t="str">
        <f t="shared" si="14"/>
        <v>No</v>
      </c>
      <c r="U75" s="146" t="str">
        <f t="shared" si="14"/>
        <v>Yes</v>
      </c>
      <c r="V75" s="146" t="str">
        <f t="shared" si="14"/>
        <v>Yes</v>
      </c>
      <c r="W75" s="146" t="str">
        <f t="shared" si="14"/>
        <v>No</v>
      </c>
      <c r="X75" s="146" t="str">
        <f t="shared" si="14"/>
        <v>No</v>
      </c>
      <c r="Y75" s="146" t="str">
        <f t="shared" si="14"/>
        <v>Yes</v>
      </c>
      <c r="Z75" s="146" t="str">
        <f t="shared" si="14"/>
        <v>No</v>
      </c>
      <c r="AA75" s="146" t="str">
        <f t="shared" si="14"/>
        <v>No</v>
      </c>
      <c r="AB75" s="146" t="str">
        <f t="shared" si="15"/>
        <v>Yes</v>
      </c>
      <c r="AC75" s="146" t="str">
        <f t="shared" si="15"/>
        <v>No</v>
      </c>
      <c r="AD75" s="146" t="str">
        <f t="shared" si="15"/>
        <v>No</v>
      </c>
      <c r="AE75" s="146" t="str">
        <f t="shared" si="15"/>
        <v>No</v>
      </c>
      <c r="AF75" s="146" t="str">
        <f t="shared" si="15"/>
        <v>No</v>
      </c>
      <c r="AG75" s="146" t="str">
        <f t="shared" si="15"/>
        <v>No</v>
      </c>
      <c r="AH75" s="146" t="str">
        <f t="shared" si="15"/>
        <v>No</v>
      </c>
      <c r="AI75" s="146" t="str">
        <f t="shared" si="15"/>
        <v>No</v>
      </c>
      <c r="AJ75" s="146" t="str">
        <f t="shared" si="15"/>
        <v>No</v>
      </c>
      <c r="AK75" s="146" t="str">
        <f t="shared" si="15"/>
        <v>No</v>
      </c>
      <c r="AL75" s="146" t="str">
        <f t="shared" si="15"/>
        <v>No</v>
      </c>
      <c r="AM75" s="146" t="str">
        <f t="shared" si="15"/>
        <v>Yes</v>
      </c>
      <c r="AN75" s="146" t="str">
        <f t="shared" si="15"/>
        <v>Yes</v>
      </c>
      <c r="AO75" s="149" t="str">
        <f t="shared" si="15"/>
        <v>No</v>
      </c>
      <c r="AP75" s="181" t="s">
        <v>212</v>
      </c>
      <c r="AQ75" s="146">
        <v>75</v>
      </c>
      <c r="AR75" s="146" t="s">
        <v>361</v>
      </c>
      <c r="AS75" s="146" t="s">
        <v>361</v>
      </c>
      <c r="AT75" s="146" t="s">
        <v>361</v>
      </c>
      <c r="AU75" s="146" t="s">
        <v>361</v>
      </c>
      <c r="AV75" s="146" t="s">
        <v>361</v>
      </c>
      <c r="AW75" s="146" t="s">
        <v>361</v>
      </c>
      <c r="AX75" s="146" t="s">
        <v>361</v>
      </c>
      <c r="AY75" s="146" t="s">
        <v>361</v>
      </c>
      <c r="AZ75" s="146" t="s">
        <v>361</v>
      </c>
      <c r="BA75" s="146" t="s">
        <v>361</v>
      </c>
      <c r="BB75" s="146" t="s">
        <v>361</v>
      </c>
      <c r="BC75" s="146" t="s">
        <v>360</v>
      </c>
      <c r="BD75" s="146" t="s">
        <v>361</v>
      </c>
      <c r="BE75" s="146" t="s">
        <v>361</v>
      </c>
      <c r="BF75" s="146" t="s">
        <v>361</v>
      </c>
      <c r="BG75" s="146" t="s">
        <v>361</v>
      </c>
      <c r="BH75" s="146" t="s">
        <v>361</v>
      </c>
      <c r="BI75" s="146" t="s">
        <v>361</v>
      </c>
      <c r="BJ75" s="146" t="s">
        <v>361</v>
      </c>
      <c r="BK75" s="146" t="s">
        <v>360</v>
      </c>
      <c r="BL75" s="146" t="s">
        <v>361</v>
      </c>
      <c r="BM75" s="146" t="s">
        <v>361</v>
      </c>
      <c r="BN75" s="146" t="s">
        <v>361</v>
      </c>
      <c r="BO75" s="146" t="s">
        <v>361</v>
      </c>
      <c r="BP75" s="146" t="s">
        <v>361</v>
      </c>
      <c r="BQ75" s="146" t="s">
        <v>361</v>
      </c>
      <c r="BR75" s="146" t="s">
        <v>361</v>
      </c>
      <c r="BS75" s="146" t="s">
        <v>361</v>
      </c>
      <c r="BT75" s="146" t="s">
        <v>360</v>
      </c>
      <c r="BU75" s="146" t="s">
        <v>361</v>
      </c>
      <c r="BV75" s="146" t="s">
        <v>361</v>
      </c>
      <c r="BW75" s="146" t="s">
        <v>361</v>
      </c>
      <c r="BX75" s="146" t="s">
        <v>361</v>
      </c>
      <c r="BY75" s="146" t="s">
        <v>361</v>
      </c>
      <c r="BZ75" s="149" t="s">
        <v>360</v>
      </c>
    </row>
    <row r="76" spans="1:78" s="2" customFormat="1" x14ac:dyDescent="0.25">
      <c r="A76" s="181" t="s">
        <v>301</v>
      </c>
      <c r="B76" s="146" t="s">
        <v>360</v>
      </c>
      <c r="C76" s="146" t="s">
        <v>361</v>
      </c>
      <c r="D76" s="146" t="s">
        <v>361</v>
      </c>
      <c r="E76" s="146" t="s">
        <v>360</v>
      </c>
      <c r="F76" s="146" t="s">
        <v>361</v>
      </c>
      <c r="G76" s="146" t="s">
        <v>361</v>
      </c>
      <c r="H76" s="146" t="s">
        <v>360</v>
      </c>
      <c r="I76" s="146" t="s">
        <v>361</v>
      </c>
      <c r="J76" s="149" t="s">
        <v>361</v>
      </c>
      <c r="K76" s="181" t="s">
        <v>301</v>
      </c>
      <c r="L76" s="146" t="str">
        <f>LOOKUP($K76,PantheonList!$A$18:$A$139,PantheonList!$B$18:$B$139)</f>
        <v>Athletics</v>
      </c>
      <c r="M76" s="146" t="str">
        <f>LOOKUP($K76,PantheonList!$A$18:$A$139,PantheonList!$C$18:$C$139)</f>
        <v>Command</v>
      </c>
      <c r="N76" s="146" t="str">
        <f>LOOKUP($K76,PantheonList!$A$18:$A$139,PantheonList!$D$18:$D$139)</f>
        <v>Integrity</v>
      </c>
      <c r="O76" s="146" t="str">
        <f>LOOKUP($K76,PantheonList!$A$18:$A$139,PantheonList!$E$18:$E$139)</f>
        <v>Melee</v>
      </c>
      <c r="P76" s="146" t="str">
        <f>LOOKUP($K76,PantheonList!$A$18:$A$139,PantheonList!$F$18:$F$139)</f>
        <v>Presence</v>
      </c>
      <c r="Q76" s="146" t="str">
        <f>LOOKUP($K76,PantheonList!$A$18:$A$139,PantheonList!$G$18:$G$139)</f>
        <v>Thrown</v>
      </c>
      <c r="R76" s="146" t="str">
        <f t="shared" si="14"/>
        <v>No</v>
      </c>
      <c r="S76" s="146" t="str">
        <f t="shared" si="14"/>
        <v>No</v>
      </c>
      <c r="T76" s="146" t="str">
        <f t="shared" si="14"/>
        <v>No</v>
      </c>
      <c r="U76" s="146" t="str">
        <f t="shared" si="14"/>
        <v>Yes</v>
      </c>
      <c r="V76" s="146" t="str">
        <f t="shared" si="14"/>
        <v>No</v>
      </c>
      <c r="W76" s="146" t="str">
        <f t="shared" si="14"/>
        <v>No</v>
      </c>
      <c r="X76" s="146" t="str">
        <f t="shared" si="14"/>
        <v>Yes</v>
      </c>
      <c r="Y76" s="146" t="str">
        <f t="shared" si="14"/>
        <v>No</v>
      </c>
      <c r="Z76" s="146" t="str">
        <f t="shared" si="14"/>
        <v>No</v>
      </c>
      <c r="AA76" s="146" t="str">
        <f t="shared" si="14"/>
        <v>No</v>
      </c>
      <c r="AB76" s="146" t="str">
        <f t="shared" si="15"/>
        <v>No</v>
      </c>
      <c r="AC76" s="146" t="str">
        <f t="shared" si="15"/>
        <v>Yes</v>
      </c>
      <c r="AD76" s="146" t="str">
        <f t="shared" si="15"/>
        <v>No</v>
      </c>
      <c r="AE76" s="146" t="str">
        <f t="shared" si="15"/>
        <v>No</v>
      </c>
      <c r="AF76" s="146" t="str">
        <f t="shared" si="15"/>
        <v>No</v>
      </c>
      <c r="AG76" s="146" t="str">
        <f t="shared" si="15"/>
        <v>No</v>
      </c>
      <c r="AH76" s="146" t="str">
        <f t="shared" si="15"/>
        <v>Yes</v>
      </c>
      <c r="AI76" s="146" t="str">
        <f t="shared" si="15"/>
        <v>No</v>
      </c>
      <c r="AJ76" s="146" t="str">
        <f t="shared" si="15"/>
        <v>No</v>
      </c>
      <c r="AK76" s="146" t="str">
        <f t="shared" si="15"/>
        <v>Yes</v>
      </c>
      <c r="AL76" s="146" t="str">
        <f t="shared" si="15"/>
        <v>No</v>
      </c>
      <c r="AM76" s="146" t="str">
        <f t="shared" si="15"/>
        <v>No</v>
      </c>
      <c r="AN76" s="146" t="str">
        <f t="shared" si="15"/>
        <v>No</v>
      </c>
      <c r="AO76" s="149" t="str">
        <f t="shared" si="15"/>
        <v>Yes</v>
      </c>
      <c r="AP76" s="181" t="s">
        <v>301</v>
      </c>
      <c r="AQ76" s="146">
        <v>76</v>
      </c>
      <c r="AR76" s="146" t="s">
        <v>361</v>
      </c>
      <c r="AS76" s="146" t="s">
        <v>361</v>
      </c>
      <c r="AT76" s="146" t="s">
        <v>361</v>
      </c>
      <c r="AU76" s="146" t="s">
        <v>361</v>
      </c>
      <c r="AV76" s="146" t="s">
        <v>361</v>
      </c>
      <c r="AW76" s="146" t="s">
        <v>361</v>
      </c>
      <c r="AX76" s="146" t="s">
        <v>361</v>
      </c>
      <c r="AY76" s="146" t="s">
        <v>361</v>
      </c>
      <c r="AZ76" s="146" t="s">
        <v>361</v>
      </c>
      <c r="BA76" s="146" t="s">
        <v>360</v>
      </c>
      <c r="BB76" s="146" t="s">
        <v>361</v>
      </c>
      <c r="BC76" s="146" t="s">
        <v>361</v>
      </c>
      <c r="BD76" s="146" t="s">
        <v>361</v>
      </c>
      <c r="BE76" s="146" t="s">
        <v>360</v>
      </c>
      <c r="BF76" s="146" t="s">
        <v>361</v>
      </c>
      <c r="BG76" s="146" t="s">
        <v>361</v>
      </c>
      <c r="BH76" s="146" t="s">
        <v>361</v>
      </c>
      <c r="BI76" s="146" t="s">
        <v>361</v>
      </c>
      <c r="BJ76" s="146" t="s">
        <v>361</v>
      </c>
      <c r="BK76" s="146" t="s">
        <v>361</v>
      </c>
      <c r="BL76" s="146" t="s">
        <v>360</v>
      </c>
      <c r="BM76" s="146" t="s">
        <v>361</v>
      </c>
      <c r="BN76" s="146" t="s">
        <v>361</v>
      </c>
      <c r="BO76" s="146" t="s">
        <v>361</v>
      </c>
      <c r="BP76" s="146" t="s">
        <v>361</v>
      </c>
      <c r="BQ76" s="146" t="s">
        <v>361</v>
      </c>
      <c r="BR76" s="146" t="s">
        <v>361</v>
      </c>
      <c r="BS76" s="146" t="s">
        <v>361</v>
      </c>
      <c r="BT76" s="146" t="s">
        <v>361</v>
      </c>
      <c r="BU76" s="146" t="s">
        <v>361</v>
      </c>
      <c r="BV76" s="146" t="s">
        <v>361</v>
      </c>
      <c r="BW76" s="146" t="s">
        <v>361</v>
      </c>
      <c r="BX76" s="146" t="s">
        <v>361</v>
      </c>
      <c r="BY76" s="146" t="s">
        <v>360</v>
      </c>
      <c r="BZ76" s="149" t="s">
        <v>361</v>
      </c>
    </row>
    <row r="77" spans="1:78" s="2" customFormat="1" x14ac:dyDescent="0.25">
      <c r="A77" s="181" t="s">
        <v>243</v>
      </c>
      <c r="B77" s="146" t="s">
        <v>361</v>
      </c>
      <c r="C77" s="146" t="s">
        <v>361</v>
      </c>
      <c r="D77" s="146" t="s">
        <v>360</v>
      </c>
      <c r="E77" s="146" t="s">
        <v>361</v>
      </c>
      <c r="F77" s="146" t="s">
        <v>361</v>
      </c>
      <c r="G77" s="146" t="s">
        <v>361</v>
      </c>
      <c r="H77" s="146" t="s">
        <v>361</v>
      </c>
      <c r="I77" s="146" t="s">
        <v>360</v>
      </c>
      <c r="J77" s="149" t="s">
        <v>360</v>
      </c>
      <c r="K77" s="181" t="s">
        <v>243</v>
      </c>
      <c r="L77" s="146" t="str">
        <f>LOOKUP($K77,PantheonList!$A$18:$A$139,PantheonList!$B$18:$B$139)</f>
        <v>Academics</v>
      </c>
      <c r="M77" s="146" t="str">
        <f>LOOKUP($K77,PantheonList!$A$18:$A$139,PantheonList!$C$18:$C$139)</f>
        <v>Awareness</v>
      </c>
      <c r="N77" s="146" t="str">
        <f>LOOKUP($K77,PantheonList!$A$18:$A$139,PantheonList!$D$18:$D$139)</f>
        <v>Craft</v>
      </c>
      <c r="O77" s="146" t="str">
        <f>LOOKUP($K77,PantheonList!$A$18:$A$139,PantheonList!$E$18:$E$139)</f>
        <v>Integrity</v>
      </c>
      <c r="P77" s="146" t="str">
        <f>LOOKUP($K77,PantheonList!$A$18:$A$139,PantheonList!$F$18:$F$139)</f>
        <v>Investigation</v>
      </c>
      <c r="Q77" s="146" t="str">
        <f>LOOKUP($K77,PantheonList!$A$18:$A$139,PantheonList!$G$18:$G$139)</f>
        <v>Science</v>
      </c>
      <c r="R77" s="146" t="str">
        <f t="shared" si="14"/>
        <v>Yes</v>
      </c>
      <c r="S77" s="146" t="str">
        <f t="shared" si="14"/>
        <v>No</v>
      </c>
      <c r="T77" s="146" t="str">
        <f t="shared" si="14"/>
        <v>No</v>
      </c>
      <c r="U77" s="146" t="str">
        <f t="shared" si="14"/>
        <v>No</v>
      </c>
      <c r="V77" s="146" t="str">
        <f t="shared" si="14"/>
        <v>Yes</v>
      </c>
      <c r="W77" s="146" t="str">
        <f t="shared" si="14"/>
        <v>No</v>
      </c>
      <c r="X77" s="146" t="str">
        <f t="shared" si="14"/>
        <v>No</v>
      </c>
      <c r="Y77" s="146" t="str">
        <f t="shared" si="14"/>
        <v>No</v>
      </c>
      <c r="Z77" s="146" t="str">
        <f t="shared" si="14"/>
        <v>Yes</v>
      </c>
      <c r="AA77" s="146" t="str">
        <f t="shared" si="14"/>
        <v>No</v>
      </c>
      <c r="AB77" s="146" t="str">
        <f t="shared" si="15"/>
        <v>No</v>
      </c>
      <c r="AC77" s="146" t="str">
        <f t="shared" si="15"/>
        <v>Yes</v>
      </c>
      <c r="AD77" s="146" t="str">
        <f t="shared" si="15"/>
        <v>Yes</v>
      </c>
      <c r="AE77" s="146" t="str">
        <f t="shared" si="15"/>
        <v>No</v>
      </c>
      <c r="AF77" s="146" t="str">
        <f t="shared" si="15"/>
        <v>No</v>
      </c>
      <c r="AG77" s="146" t="str">
        <f t="shared" si="15"/>
        <v>No</v>
      </c>
      <c r="AH77" s="146" t="str">
        <f t="shared" si="15"/>
        <v>No</v>
      </c>
      <c r="AI77" s="146" t="str">
        <f t="shared" si="15"/>
        <v>No</v>
      </c>
      <c r="AJ77" s="146" t="str">
        <f t="shared" si="15"/>
        <v>No</v>
      </c>
      <c r="AK77" s="146" t="str">
        <f t="shared" si="15"/>
        <v>No</v>
      </c>
      <c r="AL77" s="146" t="str">
        <f t="shared" si="15"/>
        <v>Yes</v>
      </c>
      <c r="AM77" s="146" t="str">
        <f t="shared" si="15"/>
        <v>No</v>
      </c>
      <c r="AN77" s="146" t="str">
        <f t="shared" si="15"/>
        <v>No</v>
      </c>
      <c r="AO77" s="149" t="str">
        <f t="shared" si="15"/>
        <v>No</v>
      </c>
      <c r="AP77" s="181" t="s">
        <v>243</v>
      </c>
      <c r="AQ77" s="146">
        <v>77</v>
      </c>
      <c r="AR77" s="146" t="s">
        <v>361</v>
      </c>
      <c r="AS77" s="146" t="s">
        <v>361</v>
      </c>
      <c r="AT77" s="146" t="s">
        <v>361</v>
      </c>
      <c r="AU77" s="146" t="s">
        <v>361</v>
      </c>
      <c r="AV77" s="146" t="s">
        <v>361</v>
      </c>
      <c r="AW77" s="146" t="s">
        <v>361</v>
      </c>
      <c r="AX77" s="146" t="s">
        <v>361</v>
      </c>
      <c r="AY77" s="146" t="s">
        <v>361</v>
      </c>
      <c r="AZ77" s="146" t="s">
        <v>361</v>
      </c>
      <c r="BA77" s="146" t="s">
        <v>361</v>
      </c>
      <c r="BB77" s="146" t="s">
        <v>360</v>
      </c>
      <c r="BC77" s="146" t="s">
        <v>361</v>
      </c>
      <c r="BD77" s="146" t="s">
        <v>361</v>
      </c>
      <c r="BE77" s="146" t="s">
        <v>361</v>
      </c>
      <c r="BF77" s="146" t="s">
        <v>361</v>
      </c>
      <c r="BG77" s="146" t="s">
        <v>361</v>
      </c>
      <c r="BH77" s="146" t="s">
        <v>361</v>
      </c>
      <c r="BI77" s="146" t="s">
        <v>361</v>
      </c>
      <c r="BJ77" s="146" t="s">
        <v>361</v>
      </c>
      <c r="BK77" s="146" t="s">
        <v>361</v>
      </c>
      <c r="BL77" s="146" t="s">
        <v>361</v>
      </c>
      <c r="BM77" s="146" t="s">
        <v>360</v>
      </c>
      <c r="BN77" s="146" t="s">
        <v>360</v>
      </c>
      <c r="BO77" s="146" t="s">
        <v>361</v>
      </c>
      <c r="BP77" s="146" t="s">
        <v>361</v>
      </c>
      <c r="BQ77" s="146" t="s">
        <v>360</v>
      </c>
      <c r="BR77" s="146" t="s">
        <v>361</v>
      </c>
      <c r="BS77" s="146" t="s">
        <v>361</v>
      </c>
      <c r="BT77" s="146" t="s">
        <v>361</v>
      </c>
      <c r="BU77" s="146" t="s">
        <v>361</v>
      </c>
      <c r="BV77" s="146" t="s">
        <v>361</v>
      </c>
      <c r="BW77" s="146" t="s">
        <v>360</v>
      </c>
      <c r="BX77" s="146" t="s">
        <v>361</v>
      </c>
      <c r="BY77" s="146" t="s">
        <v>361</v>
      </c>
      <c r="BZ77" s="149" t="s">
        <v>360</v>
      </c>
    </row>
    <row r="78" spans="1:78" s="2" customFormat="1" x14ac:dyDescent="0.25">
      <c r="A78" s="181" t="s">
        <v>213</v>
      </c>
      <c r="B78" s="146" t="s">
        <v>361</v>
      </c>
      <c r="C78" s="146" t="s">
        <v>361</v>
      </c>
      <c r="D78" s="146" t="s">
        <v>360</v>
      </c>
      <c r="E78" s="146" t="s">
        <v>360</v>
      </c>
      <c r="F78" s="146" t="s">
        <v>360</v>
      </c>
      <c r="G78" s="146" t="s">
        <v>361</v>
      </c>
      <c r="H78" s="146" t="s">
        <v>360</v>
      </c>
      <c r="I78" s="146" t="s">
        <v>360</v>
      </c>
      <c r="J78" s="149" t="s">
        <v>360</v>
      </c>
      <c r="K78" s="181" t="s">
        <v>213</v>
      </c>
      <c r="L78" s="146" t="str">
        <f>LOOKUP($K78,PantheonList!$A$18:$A$139,PantheonList!$B$18:$B$139)</f>
        <v>Art</v>
      </c>
      <c r="M78" s="146" t="str">
        <f>LOOKUP($K78,PantheonList!$A$18:$A$139,PantheonList!$C$18:$C$139)</f>
        <v>Fortitude</v>
      </c>
      <c r="N78" s="146" t="str">
        <f>LOOKUP($K78,PantheonList!$A$18:$A$139,PantheonList!$D$18:$D$139)</f>
        <v>Integrity</v>
      </c>
      <c r="O78" s="146" t="str">
        <f>LOOKUP($K78,PantheonList!$A$18:$A$139,PantheonList!$E$18:$E$139)</f>
        <v>Investigation</v>
      </c>
      <c r="P78" s="146" t="str">
        <f>LOOKUP($K78,PantheonList!$A$18:$A$139,PantheonList!$F$18:$F$139)</f>
        <v>Occult</v>
      </c>
      <c r="Q78" s="146" t="str">
        <f>LOOKUP($K78,PantheonList!$A$18:$A$139,PantheonList!$G$18:$G$139)</f>
        <v>Presence</v>
      </c>
      <c r="R78" s="146" t="str">
        <f t="shared" si="14"/>
        <v>No</v>
      </c>
      <c r="S78" s="146" t="str">
        <f t="shared" si="14"/>
        <v>No</v>
      </c>
      <c r="T78" s="146" t="str">
        <f t="shared" si="14"/>
        <v>Yes</v>
      </c>
      <c r="U78" s="146" t="str">
        <f t="shared" si="14"/>
        <v>No</v>
      </c>
      <c r="V78" s="146" t="str">
        <f t="shared" si="14"/>
        <v>No</v>
      </c>
      <c r="W78" s="146" t="str">
        <f t="shared" si="14"/>
        <v>No</v>
      </c>
      <c r="X78" s="146" t="str">
        <f t="shared" si="14"/>
        <v>No</v>
      </c>
      <c r="Y78" s="146" t="str">
        <f t="shared" si="14"/>
        <v>No</v>
      </c>
      <c r="Z78" s="146" t="str">
        <f t="shared" si="14"/>
        <v>No</v>
      </c>
      <c r="AA78" s="146" t="str">
        <f t="shared" si="14"/>
        <v>No</v>
      </c>
      <c r="AB78" s="146" t="str">
        <f t="shared" si="15"/>
        <v>Yes</v>
      </c>
      <c r="AC78" s="146" t="str">
        <f t="shared" si="15"/>
        <v>Yes</v>
      </c>
      <c r="AD78" s="146" t="str">
        <f t="shared" si="15"/>
        <v>Yes</v>
      </c>
      <c r="AE78" s="146" t="str">
        <f t="shared" si="15"/>
        <v>No</v>
      </c>
      <c r="AF78" s="146" t="str">
        <f t="shared" si="15"/>
        <v>No</v>
      </c>
      <c r="AG78" s="146" t="str">
        <f t="shared" si="15"/>
        <v>No</v>
      </c>
      <c r="AH78" s="146" t="str">
        <f t="shared" si="15"/>
        <v>No</v>
      </c>
      <c r="AI78" s="146" t="str">
        <f t="shared" si="15"/>
        <v>Yes</v>
      </c>
      <c r="AJ78" s="146" t="str">
        <f t="shared" si="15"/>
        <v>No</v>
      </c>
      <c r="AK78" s="146" t="str">
        <f t="shared" si="15"/>
        <v>Yes</v>
      </c>
      <c r="AL78" s="146" t="str">
        <f t="shared" si="15"/>
        <v>No</v>
      </c>
      <c r="AM78" s="146" t="str">
        <f t="shared" si="15"/>
        <v>No</v>
      </c>
      <c r="AN78" s="146" t="str">
        <f t="shared" si="15"/>
        <v>No</v>
      </c>
      <c r="AO78" s="149" t="str">
        <f t="shared" si="15"/>
        <v>No</v>
      </c>
      <c r="AP78" s="181" t="s">
        <v>213</v>
      </c>
      <c r="AQ78" s="146">
        <v>78</v>
      </c>
      <c r="AR78" s="146" t="s">
        <v>361</v>
      </c>
      <c r="AS78" s="146" t="s">
        <v>361</v>
      </c>
      <c r="AT78" s="146" t="s">
        <v>361</v>
      </c>
      <c r="AU78" s="146" t="s">
        <v>361</v>
      </c>
      <c r="AV78" s="146" t="s">
        <v>361</v>
      </c>
      <c r="AW78" s="146" t="s">
        <v>361</v>
      </c>
      <c r="AX78" s="146" t="s">
        <v>361</v>
      </c>
      <c r="AY78" s="146" t="s">
        <v>360</v>
      </c>
      <c r="AZ78" s="146" t="s">
        <v>361</v>
      </c>
      <c r="BA78" s="146" t="s">
        <v>361</v>
      </c>
      <c r="BB78" s="146" t="s">
        <v>361</v>
      </c>
      <c r="BC78" s="146" t="s">
        <v>361</v>
      </c>
      <c r="BD78" s="146" t="s">
        <v>361</v>
      </c>
      <c r="BE78" s="146" t="s">
        <v>361</v>
      </c>
      <c r="BF78" s="146" t="s">
        <v>361</v>
      </c>
      <c r="BG78" s="146" t="s">
        <v>361</v>
      </c>
      <c r="BH78" s="146" t="s">
        <v>361</v>
      </c>
      <c r="BI78" s="146" t="s">
        <v>361</v>
      </c>
      <c r="BJ78" s="146" t="s">
        <v>361</v>
      </c>
      <c r="BK78" s="146" t="s">
        <v>360</v>
      </c>
      <c r="BL78" s="146" t="s">
        <v>361</v>
      </c>
      <c r="BM78" s="146" t="s">
        <v>360</v>
      </c>
      <c r="BN78" s="146" t="s">
        <v>361</v>
      </c>
      <c r="BO78" s="146" t="s">
        <v>360</v>
      </c>
      <c r="BP78" s="146" t="s">
        <v>360</v>
      </c>
      <c r="BQ78" s="146" t="s">
        <v>360</v>
      </c>
      <c r="BR78" s="146" t="s">
        <v>361</v>
      </c>
      <c r="BS78" s="146" t="s">
        <v>361</v>
      </c>
      <c r="BT78" s="146" t="s">
        <v>361</v>
      </c>
      <c r="BU78" s="146" t="s">
        <v>361</v>
      </c>
      <c r="BV78" s="146" t="s">
        <v>361</v>
      </c>
      <c r="BW78" s="146" t="s">
        <v>361</v>
      </c>
      <c r="BX78" s="146" t="s">
        <v>361</v>
      </c>
      <c r="BY78" s="146" t="s">
        <v>360</v>
      </c>
      <c r="BZ78" s="149" t="s">
        <v>361</v>
      </c>
    </row>
    <row r="79" spans="1:78" s="2" customFormat="1" x14ac:dyDescent="0.25">
      <c r="A79" s="181" t="s">
        <v>302</v>
      </c>
      <c r="B79" s="146" t="s">
        <v>360</v>
      </c>
      <c r="C79" s="146" t="s">
        <v>360</v>
      </c>
      <c r="D79" s="146" t="s">
        <v>361</v>
      </c>
      <c r="E79" s="146" t="s">
        <v>361</v>
      </c>
      <c r="F79" s="146" t="s">
        <v>361</v>
      </c>
      <c r="G79" s="146" t="s">
        <v>361</v>
      </c>
      <c r="H79" s="146" t="s">
        <v>361</v>
      </c>
      <c r="I79" s="146" t="s">
        <v>360</v>
      </c>
      <c r="J79" s="149" t="s">
        <v>361</v>
      </c>
      <c r="K79" s="181" t="s">
        <v>302</v>
      </c>
      <c r="L79" s="146" t="str">
        <f>LOOKUP($K79,PantheonList!$A$18:$A$139,PantheonList!$B$18:$B$139)</f>
        <v>Academics</v>
      </c>
      <c r="M79" s="146" t="str">
        <f>LOOKUP($K79,PantheonList!$A$18:$A$139,PantheonList!$C$18:$C$139)</f>
        <v>Art</v>
      </c>
      <c r="N79" s="146" t="str">
        <f>LOOKUP($K79,PantheonList!$A$18:$A$139,PantheonList!$D$18:$D$139)</f>
        <v>Empathy</v>
      </c>
      <c r="O79" s="146" t="str">
        <f>LOOKUP($K79,PantheonList!$A$18:$A$139,PantheonList!$E$18:$E$139)</f>
        <v>Melee</v>
      </c>
      <c r="P79" s="146" t="str">
        <f>LOOKUP($K79,PantheonList!$A$18:$A$139,PantheonList!$F$18:$F$139)</f>
        <v>Presence</v>
      </c>
      <c r="Q79" s="146" t="str">
        <f>LOOKUP($K79,PantheonList!$A$18:$A$139,PantheonList!$G$18:$G$139)</f>
        <v>Thrown</v>
      </c>
      <c r="R79" s="146" t="str">
        <f t="shared" si="14"/>
        <v>Yes</v>
      </c>
      <c r="S79" s="146" t="str">
        <f t="shared" si="14"/>
        <v>No</v>
      </c>
      <c r="T79" s="146" t="str">
        <f t="shared" si="14"/>
        <v>Yes</v>
      </c>
      <c r="U79" s="146" t="str">
        <f t="shared" si="14"/>
        <v>No</v>
      </c>
      <c r="V79" s="146" t="str">
        <f t="shared" si="14"/>
        <v>No</v>
      </c>
      <c r="W79" s="146" t="str">
        <f t="shared" si="14"/>
        <v>No</v>
      </c>
      <c r="X79" s="146" t="str">
        <f t="shared" si="14"/>
        <v>No</v>
      </c>
      <c r="Y79" s="146" t="str">
        <f t="shared" si="14"/>
        <v>No</v>
      </c>
      <c r="Z79" s="146" t="str">
        <f t="shared" si="14"/>
        <v>No</v>
      </c>
      <c r="AA79" s="146" t="str">
        <f t="shared" si="14"/>
        <v>Yes</v>
      </c>
      <c r="AB79" s="146" t="str">
        <f t="shared" si="15"/>
        <v>No</v>
      </c>
      <c r="AC79" s="146" t="str">
        <f t="shared" si="15"/>
        <v>No</v>
      </c>
      <c r="AD79" s="146" t="str">
        <f t="shared" si="15"/>
        <v>No</v>
      </c>
      <c r="AE79" s="146" t="str">
        <f t="shared" si="15"/>
        <v>No</v>
      </c>
      <c r="AF79" s="146" t="str">
        <f t="shared" si="15"/>
        <v>No</v>
      </c>
      <c r="AG79" s="146" t="str">
        <f t="shared" si="15"/>
        <v>No</v>
      </c>
      <c r="AH79" s="146" t="str">
        <f t="shared" si="15"/>
        <v>Yes</v>
      </c>
      <c r="AI79" s="146" t="str">
        <f t="shared" si="15"/>
        <v>No</v>
      </c>
      <c r="AJ79" s="146" t="str">
        <f t="shared" si="15"/>
        <v>No</v>
      </c>
      <c r="AK79" s="146" t="str">
        <f t="shared" si="15"/>
        <v>Yes</v>
      </c>
      <c r="AL79" s="146" t="str">
        <f t="shared" si="15"/>
        <v>No</v>
      </c>
      <c r="AM79" s="146" t="str">
        <f t="shared" si="15"/>
        <v>No</v>
      </c>
      <c r="AN79" s="146" t="str">
        <f t="shared" si="15"/>
        <v>No</v>
      </c>
      <c r="AO79" s="149" t="str">
        <f t="shared" si="15"/>
        <v>Yes</v>
      </c>
      <c r="AP79" s="181" t="s">
        <v>302</v>
      </c>
      <c r="AQ79" s="146">
        <v>79</v>
      </c>
      <c r="AR79" s="146" t="s">
        <v>361</v>
      </c>
      <c r="AS79" s="146" t="s">
        <v>361</v>
      </c>
      <c r="AT79" s="146" t="s">
        <v>361</v>
      </c>
      <c r="AU79" s="146" t="s">
        <v>361</v>
      </c>
      <c r="AV79" s="146" t="s">
        <v>361</v>
      </c>
      <c r="AW79" s="146" t="s">
        <v>361</v>
      </c>
      <c r="AX79" s="146" t="s">
        <v>361</v>
      </c>
      <c r="AY79" s="146" t="s">
        <v>361</v>
      </c>
      <c r="AZ79" s="146" t="s">
        <v>361</v>
      </c>
      <c r="BA79" s="146" t="s">
        <v>360</v>
      </c>
      <c r="BB79" s="146" t="s">
        <v>361</v>
      </c>
      <c r="BC79" s="146" t="s">
        <v>361</v>
      </c>
      <c r="BD79" s="146" t="s">
        <v>361</v>
      </c>
      <c r="BE79" s="146" t="s">
        <v>360</v>
      </c>
      <c r="BF79" s="146" t="s">
        <v>361</v>
      </c>
      <c r="BG79" s="146" t="s">
        <v>361</v>
      </c>
      <c r="BH79" s="146" t="s">
        <v>361</v>
      </c>
      <c r="BI79" s="146" t="s">
        <v>361</v>
      </c>
      <c r="BJ79" s="146" t="s">
        <v>361</v>
      </c>
      <c r="BK79" s="146" t="s">
        <v>361</v>
      </c>
      <c r="BL79" s="146" t="s">
        <v>361</v>
      </c>
      <c r="BM79" s="146" t="s">
        <v>361</v>
      </c>
      <c r="BN79" s="146" t="s">
        <v>361</v>
      </c>
      <c r="BO79" s="146" t="s">
        <v>361</v>
      </c>
      <c r="BP79" s="146" t="s">
        <v>361</v>
      </c>
      <c r="BQ79" s="146" t="s">
        <v>361</v>
      </c>
      <c r="BR79" s="146" t="s">
        <v>361</v>
      </c>
      <c r="BS79" s="146" t="s">
        <v>361</v>
      </c>
      <c r="BT79" s="146" t="s">
        <v>361</v>
      </c>
      <c r="BU79" s="146" t="s">
        <v>361</v>
      </c>
      <c r="BV79" s="146" t="s">
        <v>361</v>
      </c>
      <c r="BW79" s="146" t="s">
        <v>361</v>
      </c>
      <c r="BX79" s="146" t="s">
        <v>361</v>
      </c>
      <c r="BY79" s="146" t="s">
        <v>360</v>
      </c>
      <c r="BZ79" s="149" t="s">
        <v>361</v>
      </c>
    </row>
    <row r="80" spans="1:78" s="2" customFormat="1" x14ac:dyDescent="0.25">
      <c r="A80" s="181" t="s">
        <v>281</v>
      </c>
      <c r="B80" s="146" t="s">
        <v>360</v>
      </c>
      <c r="C80" s="146" t="s">
        <v>361</v>
      </c>
      <c r="D80" s="146" t="s">
        <v>361</v>
      </c>
      <c r="E80" s="146" t="s">
        <v>361</v>
      </c>
      <c r="F80" s="146" t="s">
        <v>360</v>
      </c>
      <c r="G80" s="146" t="s">
        <v>361</v>
      </c>
      <c r="H80" s="146" t="s">
        <v>361</v>
      </c>
      <c r="I80" s="146" t="s">
        <v>361</v>
      </c>
      <c r="J80" s="149" t="s">
        <v>361</v>
      </c>
      <c r="K80" s="181" t="s">
        <v>281</v>
      </c>
      <c r="L80" s="146" t="str">
        <f>LOOKUP($K80,PantheonList!$A$18:$A$139,PantheonList!$B$18:$B$139)</f>
        <v>Art</v>
      </c>
      <c r="M80" s="146" t="str">
        <f>LOOKUP($K80,PantheonList!$A$18:$A$139,PantheonList!$C$18:$C$139)</f>
        <v>Craft</v>
      </c>
      <c r="N80" s="146" t="str">
        <f>LOOKUP($K80,PantheonList!$A$18:$A$139,PantheonList!$D$18:$D$139)</f>
        <v>Fortitude</v>
      </c>
      <c r="O80" s="146" t="str">
        <f>LOOKUP($K80,PantheonList!$A$18:$A$139,PantheonList!$E$18:$E$139)</f>
        <v>Melee</v>
      </c>
      <c r="P80" s="146" t="str">
        <f>LOOKUP($K80,PantheonList!$A$18:$A$139,PantheonList!$F$18:$F$139)</f>
        <v>Politics</v>
      </c>
      <c r="Q80" s="146" t="str">
        <f>LOOKUP($K80,PantheonList!$A$18:$A$139,PantheonList!$G$18:$G$139)</f>
        <v>Presence</v>
      </c>
      <c r="R80" s="146" t="str">
        <f t="shared" si="14"/>
        <v>No</v>
      </c>
      <c r="S80" s="146" t="str">
        <f t="shared" si="14"/>
        <v>No</v>
      </c>
      <c r="T80" s="146" t="str">
        <f t="shared" si="14"/>
        <v>Yes</v>
      </c>
      <c r="U80" s="146" t="str">
        <f t="shared" si="14"/>
        <v>No</v>
      </c>
      <c r="V80" s="146" t="str">
        <f t="shared" si="14"/>
        <v>No</v>
      </c>
      <c r="W80" s="146" t="str">
        <f t="shared" si="14"/>
        <v>No</v>
      </c>
      <c r="X80" s="146" t="str">
        <f t="shared" si="14"/>
        <v>No</v>
      </c>
      <c r="Y80" s="146" t="str">
        <f t="shared" si="14"/>
        <v>No</v>
      </c>
      <c r="Z80" s="146" t="str">
        <f t="shared" si="14"/>
        <v>Yes</v>
      </c>
      <c r="AA80" s="146" t="str">
        <f t="shared" si="14"/>
        <v>No</v>
      </c>
      <c r="AB80" s="146" t="str">
        <f t="shared" si="15"/>
        <v>Yes</v>
      </c>
      <c r="AC80" s="146" t="str">
        <f t="shared" si="15"/>
        <v>No</v>
      </c>
      <c r="AD80" s="146" t="str">
        <f t="shared" si="15"/>
        <v>No</v>
      </c>
      <c r="AE80" s="146" t="str">
        <f t="shared" si="15"/>
        <v>No</v>
      </c>
      <c r="AF80" s="146" t="str">
        <f t="shared" si="15"/>
        <v>No</v>
      </c>
      <c r="AG80" s="146" t="str">
        <f t="shared" si="15"/>
        <v>No</v>
      </c>
      <c r="AH80" s="146" t="str">
        <f t="shared" si="15"/>
        <v>Yes</v>
      </c>
      <c r="AI80" s="146" t="str">
        <f t="shared" si="15"/>
        <v>No</v>
      </c>
      <c r="AJ80" s="146" t="str">
        <f t="shared" si="15"/>
        <v>Yes</v>
      </c>
      <c r="AK80" s="146" t="str">
        <f t="shared" si="15"/>
        <v>Yes</v>
      </c>
      <c r="AL80" s="146" t="str">
        <f t="shared" si="15"/>
        <v>No</v>
      </c>
      <c r="AM80" s="146" t="str">
        <f t="shared" si="15"/>
        <v>No</v>
      </c>
      <c r="AN80" s="146" t="str">
        <f t="shared" si="15"/>
        <v>No</v>
      </c>
      <c r="AO80" s="149" t="str">
        <f t="shared" si="15"/>
        <v>No</v>
      </c>
      <c r="AP80" s="181" t="s">
        <v>281</v>
      </c>
      <c r="AQ80" s="146">
        <v>80</v>
      </c>
      <c r="AR80" s="146" t="s">
        <v>361</v>
      </c>
      <c r="AS80" s="146" t="s">
        <v>361</v>
      </c>
      <c r="AT80" s="146" t="s">
        <v>361</v>
      </c>
      <c r="AU80" s="146" t="s">
        <v>361</v>
      </c>
      <c r="AV80" s="146" t="s">
        <v>360</v>
      </c>
      <c r="AW80" s="146" t="s">
        <v>361</v>
      </c>
      <c r="AX80" s="146" t="s">
        <v>361</v>
      </c>
      <c r="AY80" s="146" t="s">
        <v>361</v>
      </c>
      <c r="AZ80" s="146" t="s">
        <v>361</v>
      </c>
      <c r="BA80" s="146" t="s">
        <v>361</v>
      </c>
      <c r="BB80" s="146" t="s">
        <v>361</v>
      </c>
      <c r="BC80" s="146" t="s">
        <v>360</v>
      </c>
      <c r="BD80" s="146" t="s">
        <v>361</v>
      </c>
      <c r="BE80" s="146" t="s">
        <v>361</v>
      </c>
      <c r="BF80" s="146" t="s">
        <v>361</v>
      </c>
      <c r="BG80" s="146" t="s">
        <v>361</v>
      </c>
      <c r="BH80" s="146" t="s">
        <v>361</v>
      </c>
      <c r="BI80" s="146" t="s">
        <v>361</v>
      </c>
      <c r="BJ80" s="146" t="s">
        <v>361</v>
      </c>
      <c r="BK80" s="146" t="s">
        <v>361</v>
      </c>
      <c r="BL80" s="146" t="s">
        <v>361</v>
      </c>
      <c r="BM80" s="146" t="s">
        <v>361</v>
      </c>
      <c r="BN80" s="146" t="s">
        <v>361</v>
      </c>
      <c r="BO80" s="146" t="s">
        <v>361</v>
      </c>
      <c r="BP80" s="146" t="s">
        <v>361</v>
      </c>
      <c r="BQ80" s="146" t="s">
        <v>361</v>
      </c>
      <c r="BR80" s="146" t="s">
        <v>361</v>
      </c>
      <c r="BS80" s="146" t="s">
        <v>361</v>
      </c>
      <c r="BT80" s="146" t="s">
        <v>361</v>
      </c>
      <c r="BU80" s="146" t="s">
        <v>361</v>
      </c>
      <c r="BV80" s="146" t="s">
        <v>361</v>
      </c>
      <c r="BW80" s="146" t="s">
        <v>361</v>
      </c>
      <c r="BX80" s="146" t="s">
        <v>361</v>
      </c>
      <c r="BY80" s="146" t="s">
        <v>361</v>
      </c>
      <c r="BZ80" s="149" t="s">
        <v>360</v>
      </c>
    </row>
    <row r="81" spans="1:78" s="2" customFormat="1" x14ac:dyDescent="0.25">
      <c r="A81" s="181" t="s">
        <v>289</v>
      </c>
      <c r="B81" s="146" t="s">
        <v>361</v>
      </c>
      <c r="C81" s="146" t="s">
        <v>361</v>
      </c>
      <c r="D81" s="146" t="s">
        <v>361</v>
      </c>
      <c r="E81" s="146" t="s">
        <v>360</v>
      </c>
      <c r="F81" s="146" t="s">
        <v>360</v>
      </c>
      <c r="G81" s="146" t="s">
        <v>361</v>
      </c>
      <c r="H81" s="146" t="s">
        <v>361</v>
      </c>
      <c r="I81" s="146" t="s">
        <v>361</v>
      </c>
      <c r="J81" s="149" t="s">
        <v>361</v>
      </c>
      <c r="K81" s="181" t="s">
        <v>289</v>
      </c>
      <c r="L81" s="146" t="str">
        <f>LOOKUP($K81,PantheonList!$A$18:$A$139,PantheonList!$B$18:$B$139)</f>
        <v>Awareness</v>
      </c>
      <c r="M81" s="146" t="str">
        <f>LOOKUP($K81,PantheonList!$A$18:$A$139,PantheonList!$C$18:$C$139)</f>
        <v>Command</v>
      </c>
      <c r="N81" s="146" t="str">
        <f>LOOKUP($K81,PantheonList!$A$18:$A$139,PantheonList!$D$18:$D$139)</f>
        <v>Fortitude</v>
      </c>
      <c r="O81" s="146" t="str">
        <f>LOOKUP($K81,PantheonList!$A$18:$A$139,PantheonList!$E$18:$E$139)</f>
        <v>Investigation</v>
      </c>
      <c r="P81" s="146" t="str">
        <f>LOOKUP($K81,PantheonList!$A$18:$A$139,PantheonList!$F$18:$F$139)</f>
        <v>Politics</v>
      </c>
      <c r="Q81" s="146" t="str">
        <f>LOOKUP($K81,PantheonList!$A$18:$A$139,PantheonList!$G$18:$G$139)</f>
        <v>Presence</v>
      </c>
      <c r="R81" s="146" t="str">
        <f t="shared" si="14"/>
        <v>No</v>
      </c>
      <c r="S81" s="146" t="str">
        <f t="shared" si="14"/>
        <v>No</v>
      </c>
      <c r="T81" s="146" t="str">
        <f t="shared" si="14"/>
        <v>No</v>
      </c>
      <c r="U81" s="146" t="str">
        <f t="shared" si="14"/>
        <v>No</v>
      </c>
      <c r="V81" s="146" t="str">
        <f t="shared" si="14"/>
        <v>Yes</v>
      </c>
      <c r="W81" s="146" t="str">
        <f t="shared" si="14"/>
        <v>No</v>
      </c>
      <c r="X81" s="146" t="str">
        <f t="shared" si="14"/>
        <v>Yes</v>
      </c>
      <c r="Y81" s="146" t="str">
        <f t="shared" si="14"/>
        <v>No</v>
      </c>
      <c r="Z81" s="146" t="str">
        <f t="shared" si="14"/>
        <v>No</v>
      </c>
      <c r="AA81" s="146" t="str">
        <f t="shared" si="14"/>
        <v>No</v>
      </c>
      <c r="AB81" s="146" t="str">
        <f t="shared" si="15"/>
        <v>Yes</v>
      </c>
      <c r="AC81" s="146" t="str">
        <f t="shared" si="15"/>
        <v>No</v>
      </c>
      <c r="AD81" s="146" t="str">
        <f t="shared" si="15"/>
        <v>Yes</v>
      </c>
      <c r="AE81" s="146" t="str">
        <f t="shared" si="15"/>
        <v>No</v>
      </c>
      <c r="AF81" s="146" t="str">
        <f t="shared" si="15"/>
        <v>No</v>
      </c>
      <c r="AG81" s="146" t="str">
        <f t="shared" si="15"/>
        <v>No</v>
      </c>
      <c r="AH81" s="146" t="str">
        <f t="shared" si="15"/>
        <v>No</v>
      </c>
      <c r="AI81" s="146" t="str">
        <f t="shared" si="15"/>
        <v>No</v>
      </c>
      <c r="AJ81" s="146" t="str">
        <f t="shared" si="15"/>
        <v>Yes</v>
      </c>
      <c r="AK81" s="146" t="str">
        <f t="shared" si="15"/>
        <v>Yes</v>
      </c>
      <c r="AL81" s="146" t="str">
        <f t="shared" si="15"/>
        <v>No</v>
      </c>
      <c r="AM81" s="146" t="str">
        <f t="shared" si="15"/>
        <v>No</v>
      </c>
      <c r="AN81" s="146" t="str">
        <f t="shared" si="15"/>
        <v>No</v>
      </c>
      <c r="AO81" s="149" t="str">
        <f t="shared" si="15"/>
        <v>No</v>
      </c>
      <c r="AP81" s="181" t="s">
        <v>289</v>
      </c>
      <c r="AQ81" s="146">
        <v>81</v>
      </c>
      <c r="AR81" s="146" t="s">
        <v>360</v>
      </c>
      <c r="AS81" s="146" t="s">
        <v>361</v>
      </c>
      <c r="AT81" s="146" t="s">
        <v>361</v>
      </c>
      <c r="AU81" s="146" t="s">
        <v>361</v>
      </c>
      <c r="AV81" s="146" t="s">
        <v>361</v>
      </c>
      <c r="AW81" s="146" t="s">
        <v>361</v>
      </c>
      <c r="AX81" s="146" t="s">
        <v>361</v>
      </c>
      <c r="AY81" s="146" t="s">
        <v>360</v>
      </c>
      <c r="AZ81" s="146" t="s">
        <v>360</v>
      </c>
      <c r="BA81" s="146" t="s">
        <v>361</v>
      </c>
      <c r="BB81" s="146" t="s">
        <v>360</v>
      </c>
      <c r="BC81" s="146" t="s">
        <v>361</v>
      </c>
      <c r="BD81" s="146" t="s">
        <v>361</v>
      </c>
      <c r="BE81" s="146" t="s">
        <v>361</v>
      </c>
      <c r="BF81" s="146" t="s">
        <v>361</v>
      </c>
      <c r="BG81" s="146" t="s">
        <v>360</v>
      </c>
      <c r="BH81" s="146" t="s">
        <v>361</v>
      </c>
      <c r="BI81" s="146" t="s">
        <v>361</v>
      </c>
      <c r="BJ81" s="146" t="s">
        <v>361</v>
      </c>
      <c r="BK81" s="146" t="s">
        <v>361</v>
      </c>
      <c r="BL81" s="146" t="s">
        <v>360</v>
      </c>
      <c r="BM81" s="146" t="s">
        <v>361</v>
      </c>
      <c r="BN81" s="146" t="s">
        <v>361</v>
      </c>
      <c r="BO81" s="146" t="s">
        <v>361</v>
      </c>
      <c r="BP81" s="146" t="s">
        <v>361</v>
      </c>
      <c r="BQ81" s="146" t="s">
        <v>361</v>
      </c>
      <c r="BR81" s="146" t="s">
        <v>361</v>
      </c>
      <c r="BS81" s="146" t="s">
        <v>361</v>
      </c>
      <c r="BT81" s="146" t="s">
        <v>361</v>
      </c>
      <c r="BU81" s="146" t="s">
        <v>361</v>
      </c>
      <c r="BV81" s="146" t="s">
        <v>361</v>
      </c>
      <c r="BW81" s="146" t="s">
        <v>361</v>
      </c>
      <c r="BX81" s="146" t="s">
        <v>361</v>
      </c>
      <c r="BY81" s="146" t="s">
        <v>361</v>
      </c>
      <c r="BZ81" s="149" t="s">
        <v>361</v>
      </c>
    </row>
    <row r="82" spans="1:78" s="2" customFormat="1" x14ac:dyDescent="0.25">
      <c r="A82" s="181" t="s">
        <v>255</v>
      </c>
      <c r="B82" s="146" t="s">
        <v>361</v>
      </c>
      <c r="C82" s="146" t="s">
        <v>361</v>
      </c>
      <c r="D82" s="146" t="s">
        <v>361</v>
      </c>
      <c r="E82" s="146" t="s">
        <v>360</v>
      </c>
      <c r="F82" s="146" t="s">
        <v>360</v>
      </c>
      <c r="G82" s="146" t="s">
        <v>361</v>
      </c>
      <c r="H82" s="146" t="s">
        <v>361</v>
      </c>
      <c r="I82" s="146" t="s">
        <v>361</v>
      </c>
      <c r="J82" s="149" t="s">
        <v>360</v>
      </c>
      <c r="K82" s="181" t="s">
        <v>255</v>
      </c>
      <c r="L82" s="146" t="str">
        <f>LOOKUP($K82,PantheonList!$A$18:$A$139,PantheonList!$B$18:$B$139)</f>
        <v>Craft</v>
      </c>
      <c r="M82" s="146" t="str">
        <f>LOOKUP($K82,PantheonList!$A$18:$A$139,PantheonList!$C$18:$C$139)</f>
        <v>Empathy</v>
      </c>
      <c r="N82" s="146" t="str">
        <f>LOOKUP($K82,PantheonList!$A$18:$A$139,PantheonList!$D$18:$D$139)</f>
        <v>Medicine</v>
      </c>
      <c r="O82" s="146" t="str">
        <f>LOOKUP($K82,PantheonList!$A$18:$A$139,PantheonList!$E$18:$E$139)</f>
        <v>Occult</v>
      </c>
      <c r="P82" s="146" t="str">
        <f>LOOKUP($K82,PantheonList!$A$18:$A$139,PantheonList!$F$18:$F$139)</f>
        <v>Presence</v>
      </c>
      <c r="Q82" s="146" t="str">
        <f>LOOKUP($K82,PantheonList!$A$18:$A$139,PantheonList!$G$18:$G$139)</f>
        <v>Survival</v>
      </c>
      <c r="R82" s="146" t="str">
        <f t="shared" ref="R82:AA91" si="16">IF(OR($Q82=R$1,$P82=R$1,$O82=R$1,$N82=R$1,$M82=R$1,$L82=R$1),"Yes","No")</f>
        <v>No</v>
      </c>
      <c r="S82" s="146" t="str">
        <f t="shared" si="16"/>
        <v>No</v>
      </c>
      <c r="T82" s="146" t="str">
        <f t="shared" si="16"/>
        <v>No</v>
      </c>
      <c r="U82" s="146" t="str">
        <f t="shared" si="16"/>
        <v>No</v>
      </c>
      <c r="V82" s="146" t="str">
        <f t="shared" si="16"/>
        <v>No</v>
      </c>
      <c r="W82" s="146" t="str">
        <f t="shared" si="16"/>
        <v>No</v>
      </c>
      <c r="X82" s="146" t="str">
        <f t="shared" si="16"/>
        <v>No</v>
      </c>
      <c r="Y82" s="146" t="str">
        <f t="shared" si="16"/>
        <v>No</v>
      </c>
      <c r="Z82" s="146" t="str">
        <f t="shared" si="16"/>
        <v>Yes</v>
      </c>
      <c r="AA82" s="146" t="str">
        <f t="shared" si="16"/>
        <v>Yes</v>
      </c>
      <c r="AB82" s="146" t="str">
        <f t="shared" ref="AB82:AO91" si="17">IF(OR($Q82=AB$1,$P82=AB$1,$O82=AB$1,$N82=AB$1,$M82=AB$1,$L82=AB$1),"Yes","No")</f>
        <v>No</v>
      </c>
      <c r="AC82" s="146" t="str">
        <f t="shared" si="17"/>
        <v>No</v>
      </c>
      <c r="AD82" s="146" t="str">
        <f t="shared" si="17"/>
        <v>No</v>
      </c>
      <c r="AE82" s="146" t="str">
        <f t="shared" si="17"/>
        <v>No</v>
      </c>
      <c r="AF82" s="146" t="str">
        <f t="shared" si="17"/>
        <v>No</v>
      </c>
      <c r="AG82" s="146" t="str">
        <f t="shared" si="17"/>
        <v>Yes</v>
      </c>
      <c r="AH82" s="146" t="str">
        <f t="shared" si="17"/>
        <v>No</v>
      </c>
      <c r="AI82" s="146" t="str">
        <f t="shared" si="17"/>
        <v>Yes</v>
      </c>
      <c r="AJ82" s="146" t="str">
        <f t="shared" si="17"/>
        <v>No</v>
      </c>
      <c r="AK82" s="146" t="str">
        <f t="shared" si="17"/>
        <v>Yes</v>
      </c>
      <c r="AL82" s="146" t="str">
        <f t="shared" si="17"/>
        <v>No</v>
      </c>
      <c r="AM82" s="146" t="str">
        <f t="shared" si="17"/>
        <v>No</v>
      </c>
      <c r="AN82" s="146" t="str">
        <f t="shared" si="17"/>
        <v>Yes</v>
      </c>
      <c r="AO82" s="149" t="str">
        <f t="shared" si="17"/>
        <v>No</v>
      </c>
      <c r="AP82" s="181" t="s">
        <v>255</v>
      </c>
      <c r="AQ82" s="146">
        <v>82</v>
      </c>
      <c r="AR82" s="146" t="s">
        <v>361</v>
      </c>
      <c r="AS82" s="146" t="s">
        <v>361</v>
      </c>
      <c r="AT82" s="146" t="s">
        <v>361</v>
      </c>
      <c r="AU82" s="146" t="s">
        <v>361</v>
      </c>
      <c r="AV82" s="146" t="s">
        <v>361</v>
      </c>
      <c r="AW82" s="146" t="s">
        <v>361</v>
      </c>
      <c r="AX82" s="146" t="s">
        <v>361</v>
      </c>
      <c r="AY82" s="146" t="s">
        <v>361</v>
      </c>
      <c r="AZ82" s="146" t="s">
        <v>361</v>
      </c>
      <c r="BA82" s="146" t="s">
        <v>361</v>
      </c>
      <c r="BB82" s="146" t="s">
        <v>361</v>
      </c>
      <c r="BC82" s="146" t="s">
        <v>361</v>
      </c>
      <c r="BD82" s="146" t="s">
        <v>361</v>
      </c>
      <c r="BE82" s="146" t="s">
        <v>360</v>
      </c>
      <c r="BF82" s="146" t="s">
        <v>360</v>
      </c>
      <c r="BG82" s="146" t="s">
        <v>361</v>
      </c>
      <c r="BH82" s="146" t="s">
        <v>361</v>
      </c>
      <c r="BI82" s="146" t="s">
        <v>361</v>
      </c>
      <c r="BJ82" s="146" t="s">
        <v>361</v>
      </c>
      <c r="BK82" s="146" t="s">
        <v>361</v>
      </c>
      <c r="BL82" s="146" t="s">
        <v>361</v>
      </c>
      <c r="BM82" s="146" t="s">
        <v>360</v>
      </c>
      <c r="BN82" s="146" t="s">
        <v>361</v>
      </c>
      <c r="BO82" s="146" t="s">
        <v>361</v>
      </c>
      <c r="BP82" s="146" t="s">
        <v>361</v>
      </c>
      <c r="BQ82" s="146" t="s">
        <v>361</v>
      </c>
      <c r="BR82" s="146" t="s">
        <v>360</v>
      </c>
      <c r="BS82" s="146" t="s">
        <v>361</v>
      </c>
      <c r="BT82" s="146" t="s">
        <v>361</v>
      </c>
      <c r="BU82" s="146" t="s">
        <v>361</v>
      </c>
      <c r="BV82" s="146" t="s">
        <v>361</v>
      </c>
      <c r="BW82" s="146" t="s">
        <v>361</v>
      </c>
      <c r="BX82" s="146" t="s">
        <v>361</v>
      </c>
      <c r="BY82" s="146" t="s">
        <v>361</v>
      </c>
      <c r="BZ82" s="149" t="s">
        <v>361</v>
      </c>
    </row>
    <row r="83" spans="1:78" s="2" customFormat="1" x14ac:dyDescent="0.25">
      <c r="A83" s="181" t="s">
        <v>320</v>
      </c>
      <c r="B83" s="146" t="s">
        <v>360</v>
      </c>
      <c r="C83" s="146" t="s">
        <v>361</v>
      </c>
      <c r="D83" s="146" t="s">
        <v>360</v>
      </c>
      <c r="E83" s="146" t="s">
        <v>361</v>
      </c>
      <c r="F83" s="146" t="s">
        <v>361</v>
      </c>
      <c r="G83" s="146" t="s">
        <v>361</v>
      </c>
      <c r="H83" s="146" t="s">
        <v>361</v>
      </c>
      <c r="I83" s="146" t="s">
        <v>360</v>
      </c>
      <c r="J83" s="149" t="s">
        <v>361</v>
      </c>
      <c r="K83" s="181" t="s">
        <v>320</v>
      </c>
      <c r="L83" s="146" t="str">
        <f>LOOKUP($K83,PantheonList!$A$18:$A$139,PantheonList!$B$18:$B$139)</f>
        <v>Animal Ken</v>
      </c>
      <c r="M83" s="146" t="str">
        <f>LOOKUP($K83,PantheonList!$A$18:$A$139,PantheonList!$C$18:$C$139)</f>
        <v>Athletics</v>
      </c>
      <c r="N83" s="146" t="str">
        <f>LOOKUP($K83,PantheonList!$A$18:$A$139,PantheonList!$D$18:$D$139)</f>
        <v>Craft</v>
      </c>
      <c r="O83" s="146" t="str">
        <f>LOOKUP($K83,PantheonList!$A$18:$A$139,PantheonList!$E$18:$E$139)</f>
        <v>Fortitude</v>
      </c>
      <c r="P83" s="146" t="str">
        <f>LOOKUP($K83,PantheonList!$A$18:$A$139,PantheonList!$F$18:$F$139)</f>
        <v>Melee</v>
      </c>
      <c r="Q83" s="146" t="str">
        <f>LOOKUP($K83,PantheonList!$A$18:$A$139,PantheonList!$G$18:$G$139)</f>
        <v>Science</v>
      </c>
      <c r="R83" s="146" t="str">
        <f t="shared" si="16"/>
        <v>No</v>
      </c>
      <c r="S83" s="146" t="str">
        <f t="shared" si="16"/>
        <v>Yes</v>
      </c>
      <c r="T83" s="146" t="str">
        <f t="shared" si="16"/>
        <v>No</v>
      </c>
      <c r="U83" s="146" t="str">
        <f t="shared" si="16"/>
        <v>Yes</v>
      </c>
      <c r="V83" s="146" t="str">
        <f t="shared" si="16"/>
        <v>No</v>
      </c>
      <c r="W83" s="146" t="str">
        <f t="shared" si="16"/>
        <v>No</v>
      </c>
      <c r="X83" s="146" t="str">
        <f t="shared" si="16"/>
        <v>No</v>
      </c>
      <c r="Y83" s="146" t="str">
        <f t="shared" si="16"/>
        <v>No</v>
      </c>
      <c r="Z83" s="146" t="str">
        <f t="shared" si="16"/>
        <v>Yes</v>
      </c>
      <c r="AA83" s="146" t="str">
        <f t="shared" si="16"/>
        <v>No</v>
      </c>
      <c r="AB83" s="146" t="str">
        <f t="shared" si="17"/>
        <v>Yes</v>
      </c>
      <c r="AC83" s="146" t="str">
        <f t="shared" si="17"/>
        <v>No</v>
      </c>
      <c r="AD83" s="146" t="str">
        <f t="shared" si="17"/>
        <v>No</v>
      </c>
      <c r="AE83" s="146" t="str">
        <f t="shared" si="17"/>
        <v>No</v>
      </c>
      <c r="AF83" s="146" t="str">
        <f t="shared" si="17"/>
        <v>No</v>
      </c>
      <c r="AG83" s="146" t="str">
        <f t="shared" si="17"/>
        <v>No</v>
      </c>
      <c r="AH83" s="146" t="str">
        <f t="shared" si="17"/>
        <v>Yes</v>
      </c>
      <c r="AI83" s="146" t="str">
        <f t="shared" si="17"/>
        <v>No</v>
      </c>
      <c r="AJ83" s="146" t="str">
        <f t="shared" si="17"/>
        <v>No</v>
      </c>
      <c r="AK83" s="146" t="str">
        <f t="shared" si="17"/>
        <v>No</v>
      </c>
      <c r="AL83" s="146" t="str">
        <f t="shared" si="17"/>
        <v>Yes</v>
      </c>
      <c r="AM83" s="146" t="str">
        <f t="shared" si="17"/>
        <v>No</v>
      </c>
      <c r="AN83" s="146" t="str">
        <f t="shared" si="17"/>
        <v>No</v>
      </c>
      <c r="AO83" s="149" t="str">
        <f t="shared" si="17"/>
        <v>No</v>
      </c>
      <c r="AP83" s="181" t="s">
        <v>320</v>
      </c>
      <c r="AQ83" s="146">
        <v>83</v>
      </c>
      <c r="AR83" s="146" t="s">
        <v>360</v>
      </c>
      <c r="AS83" s="146" t="s">
        <v>361</v>
      </c>
      <c r="AT83" s="146" t="s">
        <v>361</v>
      </c>
      <c r="AU83" s="146" t="s">
        <v>361</v>
      </c>
      <c r="AV83" s="146" t="s">
        <v>361</v>
      </c>
      <c r="AW83" s="146" t="s">
        <v>361</v>
      </c>
      <c r="AX83" s="146" t="s">
        <v>361</v>
      </c>
      <c r="AY83" s="146" t="s">
        <v>361</v>
      </c>
      <c r="AZ83" s="146" t="s">
        <v>360</v>
      </c>
      <c r="BA83" s="146" t="s">
        <v>361</v>
      </c>
      <c r="BB83" s="146" t="s">
        <v>361</v>
      </c>
      <c r="BC83" s="146" t="s">
        <v>361</v>
      </c>
      <c r="BD83" s="146" t="s">
        <v>361</v>
      </c>
      <c r="BE83" s="146" t="s">
        <v>361</v>
      </c>
      <c r="BF83" s="146" t="s">
        <v>361</v>
      </c>
      <c r="BG83" s="146" t="s">
        <v>361</v>
      </c>
      <c r="BH83" s="146" t="s">
        <v>361</v>
      </c>
      <c r="BI83" s="146" t="s">
        <v>360</v>
      </c>
      <c r="BJ83" s="146" t="s">
        <v>361</v>
      </c>
      <c r="BK83" s="146" t="s">
        <v>361</v>
      </c>
      <c r="BL83" s="146" t="s">
        <v>361</v>
      </c>
      <c r="BM83" s="146" t="s">
        <v>361</v>
      </c>
      <c r="BN83" s="146" t="s">
        <v>361</v>
      </c>
      <c r="BO83" s="146" t="s">
        <v>361</v>
      </c>
      <c r="BP83" s="146" t="s">
        <v>361</v>
      </c>
      <c r="BQ83" s="146" t="s">
        <v>361</v>
      </c>
      <c r="BR83" s="146" t="s">
        <v>361</v>
      </c>
      <c r="BS83" s="146" t="s">
        <v>361</v>
      </c>
      <c r="BT83" s="146" t="s">
        <v>361</v>
      </c>
      <c r="BU83" s="146" t="s">
        <v>361</v>
      </c>
      <c r="BV83" s="146" t="s">
        <v>361</v>
      </c>
      <c r="BW83" s="146" t="s">
        <v>361</v>
      </c>
      <c r="BX83" s="146" t="s">
        <v>361</v>
      </c>
      <c r="BY83" s="146" t="s">
        <v>361</v>
      </c>
      <c r="BZ83" s="149" t="s">
        <v>361</v>
      </c>
    </row>
    <row r="84" spans="1:78" s="2" customFormat="1" x14ac:dyDescent="0.25">
      <c r="A84" s="181" t="s">
        <v>321</v>
      </c>
      <c r="B84" s="146" t="s">
        <v>361</v>
      </c>
      <c r="C84" s="146" t="s">
        <v>360</v>
      </c>
      <c r="D84" s="146" t="s">
        <v>360</v>
      </c>
      <c r="E84" s="146" t="s">
        <v>360</v>
      </c>
      <c r="F84" s="146" t="s">
        <v>361</v>
      </c>
      <c r="G84" s="146" t="s">
        <v>361</v>
      </c>
      <c r="H84" s="146" t="s">
        <v>361</v>
      </c>
      <c r="I84" s="146" t="s">
        <v>361</v>
      </c>
      <c r="J84" s="149" t="s">
        <v>361</v>
      </c>
      <c r="K84" s="181" t="s">
        <v>321</v>
      </c>
      <c r="L84" s="146" t="str">
        <f>LOOKUP($K84,PantheonList!$A$18:$A$139,PantheonList!$B$18:$B$139)</f>
        <v>Animal Ken</v>
      </c>
      <c r="M84" s="146" t="str">
        <f>LOOKUP($K84,PantheonList!$A$18:$A$139,PantheonList!$C$18:$C$139)</f>
        <v>Athletics</v>
      </c>
      <c r="N84" s="146" t="str">
        <f>LOOKUP($K84,PantheonList!$A$18:$A$139,PantheonList!$D$18:$D$139)</f>
        <v>Control</v>
      </c>
      <c r="O84" s="146" t="str">
        <f>LOOKUP($K84,PantheonList!$A$18:$A$139,PantheonList!$E$18:$E$139)</f>
        <v>Fortitude</v>
      </c>
      <c r="P84" s="146" t="str">
        <f>LOOKUP($K84,PantheonList!$A$18:$A$139,PantheonList!$F$18:$F$139)</f>
        <v>Marksmanship</v>
      </c>
      <c r="Q84" s="146" t="str">
        <f>LOOKUP($K84,PantheonList!$A$18:$A$139,PantheonList!$G$18:$G$139)</f>
        <v>Survival</v>
      </c>
      <c r="R84" s="146" t="str">
        <f t="shared" si="16"/>
        <v>No</v>
      </c>
      <c r="S84" s="146" t="str">
        <f t="shared" si="16"/>
        <v>Yes</v>
      </c>
      <c r="T84" s="146" t="str">
        <f t="shared" si="16"/>
        <v>No</v>
      </c>
      <c r="U84" s="146" t="str">
        <f t="shared" si="16"/>
        <v>Yes</v>
      </c>
      <c r="V84" s="146" t="str">
        <f t="shared" si="16"/>
        <v>No</v>
      </c>
      <c r="W84" s="146" t="str">
        <f t="shared" si="16"/>
        <v>No</v>
      </c>
      <c r="X84" s="146" t="str">
        <f t="shared" si="16"/>
        <v>No</v>
      </c>
      <c r="Y84" s="146" t="str">
        <f t="shared" si="16"/>
        <v>Yes</v>
      </c>
      <c r="Z84" s="146" t="str">
        <f t="shared" si="16"/>
        <v>No</v>
      </c>
      <c r="AA84" s="146" t="str">
        <f t="shared" si="16"/>
        <v>No</v>
      </c>
      <c r="AB84" s="146" t="str">
        <f t="shared" si="17"/>
        <v>Yes</v>
      </c>
      <c r="AC84" s="146" t="str">
        <f t="shared" si="17"/>
        <v>No</v>
      </c>
      <c r="AD84" s="146" t="str">
        <f t="shared" si="17"/>
        <v>No</v>
      </c>
      <c r="AE84" s="146" t="str">
        <f t="shared" si="17"/>
        <v>No</v>
      </c>
      <c r="AF84" s="146" t="str">
        <f t="shared" si="17"/>
        <v>Yes</v>
      </c>
      <c r="AG84" s="146" t="str">
        <f t="shared" si="17"/>
        <v>No</v>
      </c>
      <c r="AH84" s="146" t="str">
        <f t="shared" si="17"/>
        <v>No</v>
      </c>
      <c r="AI84" s="146" t="str">
        <f t="shared" si="17"/>
        <v>No</v>
      </c>
      <c r="AJ84" s="146" t="str">
        <f t="shared" si="17"/>
        <v>No</v>
      </c>
      <c r="AK84" s="146" t="str">
        <f t="shared" si="17"/>
        <v>No</v>
      </c>
      <c r="AL84" s="146" t="str">
        <f t="shared" si="17"/>
        <v>No</v>
      </c>
      <c r="AM84" s="146" t="str">
        <f t="shared" si="17"/>
        <v>No</v>
      </c>
      <c r="AN84" s="146" t="str">
        <f t="shared" si="17"/>
        <v>Yes</v>
      </c>
      <c r="AO84" s="149" t="str">
        <f t="shared" si="17"/>
        <v>No</v>
      </c>
      <c r="AP84" s="181" t="s">
        <v>321</v>
      </c>
      <c r="AQ84" s="146">
        <v>84</v>
      </c>
      <c r="AR84" s="146" t="s">
        <v>360</v>
      </c>
      <c r="AS84" s="146" t="s">
        <v>361</v>
      </c>
      <c r="AT84" s="146" t="s">
        <v>361</v>
      </c>
      <c r="AU84" s="146" t="s">
        <v>361</v>
      </c>
      <c r="AV84" s="146" t="s">
        <v>361</v>
      </c>
      <c r="AW84" s="146" t="s">
        <v>361</v>
      </c>
      <c r="AX84" s="146" t="s">
        <v>361</v>
      </c>
      <c r="AY84" s="146" t="s">
        <v>361</v>
      </c>
      <c r="AZ84" s="146" t="s">
        <v>361</v>
      </c>
      <c r="BA84" s="146" t="s">
        <v>361</v>
      </c>
      <c r="BB84" s="146" t="s">
        <v>361</v>
      </c>
      <c r="BC84" s="146" t="s">
        <v>361</v>
      </c>
      <c r="BD84" s="146" t="s">
        <v>361</v>
      </c>
      <c r="BE84" s="146" t="s">
        <v>361</v>
      </c>
      <c r="BF84" s="146" t="s">
        <v>361</v>
      </c>
      <c r="BG84" s="146" t="s">
        <v>361</v>
      </c>
      <c r="BH84" s="146" t="s">
        <v>361</v>
      </c>
      <c r="BI84" s="146" t="s">
        <v>360</v>
      </c>
      <c r="BJ84" s="146" t="s">
        <v>361</v>
      </c>
      <c r="BK84" s="146" t="s">
        <v>361</v>
      </c>
      <c r="BL84" s="146" t="s">
        <v>361</v>
      </c>
      <c r="BM84" s="146" t="s">
        <v>361</v>
      </c>
      <c r="BN84" s="146" t="s">
        <v>361</v>
      </c>
      <c r="BO84" s="146" t="s">
        <v>361</v>
      </c>
      <c r="BP84" s="146" t="s">
        <v>361</v>
      </c>
      <c r="BQ84" s="146" t="s">
        <v>360</v>
      </c>
      <c r="BR84" s="146" t="s">
        <v>361</v>
      </c>
      <c r="BS84" s="146" t="s">
        <v>361</v>
      </c>
      <c r="BT84" s="146" t="s">
        <v>361</v>
      </c>
      <c r="BU84" s="146" t="s">
        <v>361</v>
      </c>
      <c r="BV84" s="146" t="s">
        <v>361</v>
      </c>
      <c r="BW84" s="146" t="s">
        <v>361</v>
      </c>
      <c r="BX84" s="146" t="s">
        <v>361</v>
      </c>
      <c r="BY84" s="146" t="s">
        <v>361</v>
      </c>
      <c r="BZ84" s="149" t="s">
        <v>361</v>
      </c>
    </row>
    <row r="85" spans="1:78" s="2" customFormat="1" x14ac:dyDescent="0.25">
      <c r="A85" s="181" t="s">
        <v>272</v>
      </c>
      <c r="B85" s="146" t="s">
        <v>361</v>
      </c>
      <c r="C85" s="146" t="s">
        <v>361</v>
      </c>
      <c r="D85" s="146" t="s">
        <v>361</v>
      </c>
      <c r="E85" s="146" t="s">
        <v>360</v>
      </c>
      <c r="F85" s="146" t="s">
        <v>360</v>
      </c>
      <c r="G85" s="146" t="s">
        <v>361</v>
      </c>
      <c r="H85" s="146" t="s">
        <v>361</v>
      </c>
      <c r="I85" s="146" t="s">
        <v>361</v>
      </c>
      <c r="J85" s="149" t="s">
        <v>361</v>
      </c>
      <c r="K85" s="181" t="s">
        <v>272</v>
      </c>
      <c r="L85" s="146" t="str">
        <f>LOOKUP($K85,PantheonList!$A$18:$A$139,PantheonList!$B$18:$B$139)</f>
        <v>Animal Ken</v>
      </c>
      <c r="M85" s="146" t="str">
        <f>LOOKUP($K85,PantheonList!$A$18:$A$139,PantheonList!$C$18:$C$139)</f>
        <v>Control</v>
      </c>
      <c r="N85" s="146" t="str">
        <f>LOOKUP($K85,PantheonList!$A$18:$A$139,PantheonList!$D$18:$D$139)</f>
        <v>Fortitude</v>
      </c>
      <c r="O85" s="146" t="str">
        <f>LOOKUP($K85,PantheonList!$A$18:$A$139,PantheonList!$E$18:$E$139)</f>
        <v>Integrity</v>
      </c>
      <c r="P85" s="146" t="str">
        <f>LOOKUP($K85,PantheonList!$A$18:$A$139,PantheonList!$F$18:$F$139)</f>
        <v>Melee</v>
      </c>
      <c r="Q85" s="146" t="str">
        <f>LOOKUP($K85,PantheonList!$A$18:$A$139,PantheonList!$G$18:$G$139)</f>
        <v>Thrown</v>
      </c>
      <c r="R85" s="146" t="str">
        <f t="shared" si="16"/>
        <v>No</v>
      </c>
      <c r="S85" s="146" t="str">
        <f t="shared" si="16"/>
        <v>Yes</v>
      </c>
      <c r="T85" s="146" t="str">
        <f t="shared" si="16"/>
        <v>No</v>
      </c>
      <c r="U85" s="146" t="str">
        <f t="shared" si="16"/>
        <v>No</v>
      </c>
      <c r="V85" s="146" t="str">
        <f t="shared" si="16"/>
        <v>No</v>
      </c>
      <c r="W85" s="146" t="str">
        <f t="shared" si="16"/>
        <v>No</v>
      </c>
      <c r="X85" s="146" t="str">
        <f t="shared" si="16"/>
        <v>No</v>
      </c>
      <c r="Y85" s="146" t="str">
        <f t="shared" si="16"/>
        <v>Yes</v>
      </c>
      <c r="Z85" s="146" t="str">
        <f t="shared" si="16"/>
        <v>No</v>
      </c>
      <c r="AA85" s="146" t="str">
        <f t="shared" si="16"/>
        <v>No</v>
      </c>
      <c r="AB85" s="146" t="str">
        <f t="shared" si="17"/>
        <v>Yes</v>
      </c>
      <c r="AC85" s="146" t="str">
        <f t="shared" si="17"/>
        <v>Yes</v>
      </c>
      <c r="AD85" s="146" t="str">
        <f t="shared" si="17"/>
        <v>No</v>
      </c>
      <c r="AE85" s="146" t="str">
        <f t="shared" si="17"/>
        <v>No</v>
      </c>
      <c r="AF85" s="146" t="str">
        <f t="shared" si="17"/>
        <v>No</v>
      </c>
      <c r="AG85" s="146" t="str">
        <f t="shared" si="17"/>
        <v>No</v>
      </c>
      <c r="AH85" s="146" t="str">
        <f t="shared" si="17"/>
        <v>Yes</v>
      </c>
      <c r="AI85" s="146" t="str">
        <f t="shared" si="17"/>
        <v>No</v>
      </c>
      <c r="AJ85" s="146" t="str">
        <f t="shared" si="17"/>
        <v>No</v>
      </c>
      <c r="AK85" s="146" t="str">
        <f t="shared" si="17"/>
        <v>No</v>
      </c>
      <c r="AL85" s="146" t="str">
        <f t="shared" si="17"/>
        <v>No</v>
      </c>
      <c r="AM85" s="146" t="str">
        <f t="shared" si="17"/>
        <v>No</v>
      </c>
      <c r="AN85" s="146" t="str">
        <f t="shared" si="17"/>
        <v>No</v>
      </c>
      <c r="AO85" s="149" t="str">
        <f t="shared" si="17"/>
        <v>Yes</v>
      </c>
      <c r="AP85" s="181" t="s">
        <v>272</v>
      </c>
      <c r="AQ85" s="146">
        <v>85</v>
      </c>
      <c r="AR85" s="146" t="s">
        <v>360</v>
      </c>
      <c r="AS85" s="146" t="s">
        <v>360</v>
      </c>
      <c r="AT85" s="146" t="s">
        <v>361</v>
      </c>
      <c r="AU85" s="146" t="s">
        <v>361</v>
      </c>
      <c r="AV85" s="146" t="s">
        <v>361</v>
      </c>
      <c r="AW85" s="146" t="s">
        <v>361</v>
      </c>
      <c r="AX85" s="146" t="s">
        <v>361</v>
      </c>
      <c r="AY85" s="146" t="s">
        <v>361</v>
      </c>
      <c r="AZ85" s="146" t="s">
        <v>360</v>
      </c>
      <c r="BA85" s="146" t="s">
        <v>361</v>
      </c>
      <c r="BB85" s="146" t="s">
        <v>361</v>
      </c>
      <c r="BC85" s="146" t="s">
        <v>361</v>
      </c>
      <c r="BD85" s="146" t="s">
        <v>361</v>
      </c>
      <c r="BE85" s="146" t="s">
        <v>361</v>
      </c>
      <c r="BF85" s="146" t="s">
        <v>361</v>
      </c>
      <c r="BG85" s="146" t="s">
        <v>361</v>
      </c>
      <c r="BH85" s="146" t="s">
        <v>361</v>
      </c>
      <c r="BI85" s="146" t="s">
        <v>361</v>
      </c>
      <c r="BJ85" s="146" t="s">
        <v>361</v>
      </c>
      <c r="BK85" s="146" t="s">
        <v>361</v>
      </c>
      <c r="BL85" s="146" t="s">
        <v>361</v>
      </c>
      <c r="BM85" s="146" t="s">
        <v>361</v>
      </c>
      <c r="BN85" s="146" t="s">
        <v>361</v>
      </c>
      <c r="BO85" s="146" t="s">
        <v>361</v>
      </c>
      <c r="BP85" s="146" t="s">
        <v>361</v>
      </c>
      <c r="BQ85" s="146" t="s">
        <v>361</v>
      </c>
      <c r="BR85" s="146" t="s">
        <v>361</v>
      </c>
      <c r="BS85" s="146" t="s">
        <v>361</v>
      </c>
      <c r="BT85" s="146" t="s">
        <v>361</v>
      </c>
      <c r="BU85" s="146" t="s">
        <v>361</v>
      </c>
      <c r="BV85" s="146" t="s">
        <v>361</v>
      </c>
      <c r="BW85" s="146" t="s">
        <v>361</v>
      </c>
      <c r="BX85" s="146" t="s">
        <v>361</v>
      </c>
      <c r="BY85" s="146" t="s">
        <v>361</v>
      </c>
      <c r="BZ85" s="149" t="s">
        <v>360</v>
      </c>
    </row>
    <row r="86" spans="1:78" s="2" customFormat="1" x14ac:dyDescent="0.25">
      <c r="A86" s="181" t="s">
        <v>290</v>
      </c>
      <c r="B86" s="146" t="s">
        <v>361</v>
      </c>
      <c r="C86" s="146" t="s">
        <v>361</v>
      </c>
      <c r="D86" s="146" t="s">
        <v>361</v>
      </c>
      <c r="E86" s="146" t="s">
        <v>361</v>
      </c>
      <c r="F86" s="146" t="s">
        <v>361</v>
      </c>
      <c r="G86" s="146" t="s">
        <v>361</v>
      </c>
      <c r="H86" s="146" t="s">
        <v>361</v>
      </c>
      <c r="I86" s="146" t="s">
        <v>360</v>
      </c>
      <c r="J86" s="149" t="s">
        <v>361</v>
      </c>
      <c r="K86" s="181" t="s">
        <v>290</v>
      </c>
      <c r="L86" s="146" t="str">
        <f>LOOKUP($K86,PantheonList!$A$18:$A$139,PantheonList!$B$18:$B$139)</f>
        <v>Art</v>
      </c>
      <c r="M86" s="146" t="str">
        <f>LOOKUP($K86,PantheonList!$A$18:$A$139,PantheonList!$C$18:$C$139)</f>
        <v>Craft</v>
      </c>
      <c r="N86" s="146" t="str">
        <f>LOOKUP($K86,PantheonList!$A$18:$A$139,PantheonList!$D$18:$D$139)</f>
        <v>Investigation</v>
      </c>
      <c r="O86" s="146" t="str">
        <f>LOOKUP($K86,PantheonList!$A$18:$A$139,PantheonList!$E$18:$E$139)</f>
        <v>Larceny</v>
      </c>
      <c r="P86" s="146" t="str">
        <f>LOOKUP($K86,PantheonList!$A$18:$A$139,PantheonList!$F$18:$F$139)</f>
        <v>Science</v>
      </c>
      <c r="Q86" s="146" t="str">
        <f>LOOKUP($K86,PantheonList!$A$18:$A$139,PantheonList!$G$18:$G$139)</f>
        <v>Thrown</v>
      </c>
      <c r="R86" s="146" t="str">
        <f t="shared" si="16"/>
        <v>No</v>
      </c>
      <c r="S86" s="146" t="str">
        <f t="shared" si="16"/>
        <v>No</v>
      </c>
      <c r="T86" s="146" t="str">
        <f t="shared" si="16"/>
        <v>Yes</v>
      </c>
      <c r="U86" s="146" t="str">
        <f t="shared" si="16"/>
        <v>No</v>
      </c>
      <c r="V86" s="146" t="str">
        <f t="shared" si="16"/>
        <v>No</v>
      </c>
      <c r="W86" s="146" t="str">
        <f t="shared" si="16"/>
        <v>No</v>
      </c>
      <c r="X86" s="146" t="str">
        <f t="shared" si="16"/>
        <v>No</v>
      </c>
      <c r="Y86" s="146" t="str">
        <f t="shared" si="16"/>
        <v>No</v>
      </c>
      <c r="Z86" s="146" t="str">
        <f t="shared" si="16"/>
        <v>Yes</v>
      </c>
      <c r="AA86" s="146" t="str">
        <f t="shared" si="16"/>
        <v>No</v>
      </c>
      <c r="AB86" s="146" t="str">
        <f t="shared" si="17"/>
        <v>No</v>
      </c>
      <c r="AC86" s="146" t="str">
        <f t="shared" si="17"/>
        <v>No</v>
      </c>
      <c r="AD86" s="146" t="str">
        <f t="shared" si="17"/>
        <v>Yes</v>
      </c>
      <c r="AE86" s="146" t="str">
        <f t="shared" si="17"/>
        <v>Yes</v>
      </c>
      <c r="AF86" s="146" t="str">
        <f t="shared" si="17"/>
        <v>No</v>
      </c>
      <c r="AG86" s="146" t="str">
        <f t="shared" si="17"/>
        <v>No</v>
      </c>
      <c r="AH86" s="146" t="str">
        <f t="shared" si="17"/>
        <v>No</v>
      </c>
      <c r="AI86" s="146" t="str">
        <f t="shared" si="17"/>
        <v>No</v>
      </c>
      <c r="AJ86" s="146" t="str">
        <f t="shared" si="17"/>
        <v>No</v>
      </c>
      <c r="AK86" s="146" t="str">
        <f t="shared" si="17"/>
        <v>No</v>
      </c>
      <c r="AL86" s="146" t="str">
        <f t="shared" si="17"/>
        <v>Yes</v>
      </c>
      <c r="AM86" s="146" t="str">
        <f t="shared" si="17"/>
        <v>No</v>
      </c>
      <c r="AN86" s="146" t="str">
        <f t="shared" si="17"/>
        <v>No</v>
      </c>
      <c r="AO86" s="149" t="str">
        <f t="shared" si="17"/>
        <v>Yes</v>
      </c>
      <c r="AP86" s="181" t="s">
        <v>290</v>
      </c>
      <c r="AQ86" s="146">
        <v>86</v>
      </c>
      <c r="AR86" s="146" t="s">
        <v>361</v>
      </c>
      <c r="AS86" s="146" t="s">
        <v>361</v>
      </c>
      <c r="AT86" s="146" t="s">
        <v>361</v>
      </c>
      <c r="AU86" s="146" t="s">
        <v>361</v>
      </c>
      <c r="AV86" s="146" t="s">
        <v>361</v>
      </c>
      <c r="AW86" s="146" t="s">
        <v>361</v>
      </c>
      <c r="AX86" s="146" t="s">
        <v>361</v>
      </c>
      <c r="AY86" s="146" t="s">
        <v>361</v>
      </c>
      <c r="AZ86" s="146" t="s">
        <v>361</v>
      </c>
      <c r="BA86" s="146" t="s">
        <v>361</v>
      </c>
      <c r="BB86" s="146" t="s">
        <v>361</v>
      </c>
      <c r="BC86" s="146" t="s">
        <v>360</v>
      </c>
      <c r="BD86" s="146" t="s">
        <v>361</v>
      </c>
      <c r="BE86" s="146" t="s">
        <v>361</v>
      </c>
      <c r="BF86" s="146" t="s">
        <v>361</v>
      </c>
      <c r="BG86" s="146" t="s">
        <v>360</v>
      </c>
      <c r="BH86" s="146" t="s">
        <v>361</v>
      </c>
      <c r="BI86" s="146" t="s">
        <v>361</v>
      </c>
      <c r="BJ86" s="146" t="s">
        <v>361</v>
      </c>
      <c r="BK86" s="146" t="s">
        <v>361</v>
      </c>
      <c r="BL86" s="146" t="s">
        <v>361</v>
      </c>
      <c r="BM86" s="146" t="s">
        <v>361</v>
      </c>
      <c r="BN86" s="146" t="s">
        <v>361</v>
      </c>
      <c r="BO86" s="146" t="s">
        <v>361</v>
      </c>
      <c r="BP86" s="146" t="s">
        <v>361</v>
      </c>
      <c r="BQ86" s="146" t="s">
        <v>360</v>
      </c>
      <c r="BR86" s="146" t="s">
        <v>361</v>
      </c>
      <c r="BS86" s="146" t="s">
        <v>361</v>
      </c>
      <c r="BT86" s="146" t="s">
        <v>361</v>
      </c>
      <c r="BU86" s="146" t="s">
        <v>361</v>
      </c>
      <c r="BV86" s="146" t="s">
        <v>361</v>
      </c>
      <c r="BW86" s="146" t="s">
        <v>361</v>
      </c>
      <c r="BX86" s="146" t="s">
        <v>361</v>
      </c>
      <c r="BY86" s="146" t="s">
        <v>361</v>
      </c>
      <c r="BZ86" s="149" t="s">
        <v>361</v>
      </c>
    </row>
    <row r="87" spans="1:78" s="2" customFormat="1" x14ac:dyDescent="0.25">
      <c r="A87" s="181" t="s">
        <v>230</v>
      </c>
      <c r="B87" s="146" t="s">
        <v>361</v>
      </c>
      <c r="C87" s="146" t="s">
        <v>361</v>
      </c>
      <c r="D87" s="146" t="s">
        <v>361</v>
      </c>
      <c r="E87" s="146" t="s">
        <v>360</v>
      </c>
      <c r="F87" s="146" t="s">
        <v>361</v>
      </c>
      <c r="G87" s="146" t="s">
        <v>361</v>
      </c>
      <c r="H87" s="146" t="s">
        <v>361</v>
      </c>
      <c r="I87" s="146" t="s">
        <v>360</v>
      </c>
      <c r="J87" s="149" t="s">
        <v>361</v>
      </c>
      <c r="K87" s="181" t="s">
        <v>230</v>
      </c>
      <c r="L87" s="146" t="str">
        <f>LOOKUP($K87,PantheonList!$A$18:$A$139,PantheonList!$B$18:$B$139)</f>
        <v>Academics</v>
      </c>
      <c r="M87" s="146" t="str">
        <f>LOOKUP($K87,PantheonList!$A$18:$A$139,PantheonList!$C$18:$C$139)</f>
        <v>Command</v>
      </c>
      <c r="N87" s="146" t="str">
        <f>LOOKUP($K87,PantheonList!$A$18:$A$139,PantheonList!$D$18:$D$139)</f>
        <v>Investigation</v>
      </c>
      <c r="O87" s="146" t="str">
        <f>LOOKUP($K87,PantheonList!$A$18:$A$139,PantheonList!$E$18:$E$139)</f>
        <v>Medicine</v>
      </c>
      <c r="P87" s="146" t="str">
        <f>LOOKUP($K87,PantheonList!$A$18:$A$139,PantheonList!$F$18:$F$139)</f>
        <v>Melee</v>
      </c>
      <c r="Q87" s="146" t="str">
        <f>LOOKUP($K87,PantheonList!$A$18:$A$139,PantheonList!$G$18:$G$139)</f>
        <v>Science</v>
      </c>
      <c r="R87" s="146" t="str">
        <f t="shared" si="16"/>
        <v>Yes</v>
      </c>
      <c r="S87" s="146" t="str">
        <f t="shared" si="16"/>
        <v>No</v>
      </c>
      <c r="T87" s="146" t="str">
        <f t="shared" si="16"/>
        <v>No</v>
      </c>
      <c r="U87" s="146" t="str">
        <f t="shared" si="16"/>
        <v>No</v>
      </c>
      <c r="V87" s="146" t="str">
        <f t="shared" si="16"/>
        <v>No</v>
      </c>
      <c r="W87" s="146" t="str">
        <f t="shared" si="16"/>
        <v>No</v>
      </c>
      <c r="X87" s="146" t="str">
        <f t="shared" si="16"/>
        <v>Yes</v>
      </c>
      <c r="Y87" s="146" t="str">
        <f t="shared" si="16"/>
        <v>No</v>
      </c>
      <c r="Z87" s="146" t="str">
        <f t="shared" si="16"/>
        <v>No</v>
      </c>
      <c r="AA87" s="146" t="str">
        <f t="shared" si="16"/>
        <v>No</v>
      </c>
      <c r="AB87" s="146" t="str">
        <f t="shared" si="17"/>
        <v>No</v>
      </c>
      <c r="AC87" s="146" t="str">
        <f t="shared" si="17"/>
        <v>No</v>
      </c>
      <c r="AD87" s="146" t="str">
        <f t="shared" si="17"/>
        <v>Yes</v>
      </c>
      <c r="AE87" s="146" t="str">
        <f t="shared" si="17"/>
        <v>No</v>
      </c>
      <c r="AF87" s="146" t="str">
        <f t="shared" si="17"/>
        <v>No</v>
      </c>
      <c r="AG87" s="146" t="str">
        <f t="shared" si="17"/>
        <v>Yes</v>
      </c>
      <c r="AH87" s="146" t="str">
        <f t="shared" si="17"/>
        <v>Yes</v>
      </c>
      <c r="AI87" s="146" t="str">
        <f t="shared" si="17"/>
        <v>No</v>
      </c>
      <c r="AJ87" s="146" t="str">
        <f t="shared" si="17"/>
        <v>No</v>
      </c>
      <c r="AK87" s="146" t="str">
        <f t="shared" si="17"/>
        <v>No</v>
      </c>
      <c r="AL87" s="146" t="str">
        <f t="shared" si="17"/>
        <v>Yes</v>
      </c>
      <c r="AM87" s="146" t="str">
        <f t="shared" si="17"/>
        <v>No</v>
      </c>
      <c r="AN87" s="146" t="str">
        <f t="shared" si="17"/>
        <v>No</v>
      </c>
      <c r="AO87" s="149" t="str">
        <f t="shared" si="17"/>
        <v>No</v>
      </c>
      <c r="AP87" s="181" t="s">
        <v>230</v>
      </c>
      <c r="AQ87" s="146">
        <v>87</v>
      </c>
      <c r="AR87" s="146" t="s">
        <v>360</v>
      </c>
      <c r="AS87" s="146" t="s">
        <v>361</v>
      </c>
      <c r="AT87" s="146" t="s">
        <v>361</v>
      </c>
      <c r="AU87" s="146" t="s">
        <v>361</v>
      </c>
      <c r="AV87" s="146" t="s">
        <v>361</v>
      </c>
      <c r="AW87" s="146" t="s">
        <v>361</v>
      </c>
      <c r="AX87" s="146" t="s">
        <v>361</v>
      </c>
      <c r="AY87" s="146" t="s">
        <v>361</v>
      </c>
      <c r="AZ87" s="146" t="s">
        <v>360</v>
      </c>
      <c r="BA87" s="146" t="s">
        <v>361</v>
      </c>
      <c r="BB87" s="146" t="s">
        <v>360</v>
      </c>
      <c r="BC87" s="146" t="s">
        <v>361</v>
      </c>
      <c r="BD87" s="146" t="s">
        <v>361</v>
      </c>
      <c r="BE87" s="146" t="s">
        <v>361</v>
      </c>
      <c r="BF87" s="146" t="s">
        <v>360</v>
      </c>
      <c r="BG87" s="146" t="s">
        <v>361</v>
      </c>
      <c r="BH87" s="146" t="s">
        <v>361</v>
      </c>
      <c r="BI87" s="146" t="s">
        <v>361</v>
      </c>
      <c r="BJ87" s="146" t="s">
        <v>360</v>
      </c>
      <c r="BK87" s="146" t="s">
        <v>361</v>
      </c>
      <c r="BL87" s="146" t="s">
        <v>360</v>
      </c>
      <c r="BM87" s="146" t="s">
        <v>361</v>
      </c>
      <c r="BN87" s="146" t="s">
        <v>361</v>
      </c>
      <c r="BO87" s="146" t="s">
        <v>361</v>
      </c>
      <c r="BP87" s="146" t="s">
        <v>361</v>
      </c>
      <c r="BQ87" s="146" t="s">
        <v>360</v>
      </c>
      <c r="BR87" s="146" t="s">
        <v>361</v>
      </c>
      <c r="BS87" s="146" t="s">
        <v>361</v>
      </c>
      <c r="BT87" s="146" t="s">
        <v>360</v>
      </c>
      <c r="BU87" s="146" t="s">
        <v>361</v>
      </c>
      <c r="BV87" s="146" t="s">
        <v>361</v>
      </c>
      <c r="BW87" s="146" t="s">
        <v>361</v>
      </c>
      <c r="BX87" s="146" t="s">
        <v>361</v>
      </c>
      <c r="BY87" s="146" t="s">
        <v>361</v>
      </c>
      <c r="BZ87" s="149" t="s">
        <v>360</v>
      </c>
    </row>
    <row r="88" spans="1:78" s="2" customFormat="1" x14ac:dyDescent="0.25">
      <c r="A88" s="181" t="s">
        <v>273</v>
      </c>
      <c r="B88" s="146" t="s">
        <v>360</v>
      </c>
      <c r="C88" s="146" t="s">
        <v>361</v>
      </c>
      <c r="D88" s="146" t="s">
        <v>361</v>
      </c>
      <c r="E88" s="146" t="s">
        <v>361</v>
      </c>
      <c r="F88" s="146" t="s">
        <v>361</v>
      </c>
      <c r="G88" s="146" t="s">
        <v>361</v>
      </c>
      <c r="H88" s="146" t="s">
        <v>361</v>
      </c>
      <c r="I88" s="146" t="s">
        <v>361</v>
      </c>
      <c r="J88" s="149" t="s">
        <v>361</v>
      </c>
      <c r="K88" s="181" t="s">
        <v>273</v>
      </c>
      <c r="L88" s="146" t="str">
        <f>LOOKUP($K88,PantheonList!$A$18:$A$139,PantheonList!$B$18:$B$139)</f>
        <v>Animal Ken</v>
      </c>
      <c r="M88" s="146" t="str">
        <f>LOOKUP($K88,PantheonList!$A$18:$A$139,PantheonList!$C$18:$C$139)</f>
        <v>Athletics</v>
      </c>
      <c r="N88" s="146" t="str">
        <f>LOOKUP($K88,PantheonList!$A$18:$A$139,PantheonList!$D$18:$D$139)</f>
        <v>Command</v>
      </c>
      <c r="O88" s="146" t="str">
        <f>LOOKUP($K88,PantheonList!$A$18:$A$139,PantheonList!$E$18:$E$139)</f>
        <v>Melee</v>
      </c>
      <c r="P88" s="146" t="str">
        <f>LOOKUP($K88,PantheonList!$A$18:$A$139,PantheonList!$F$18:$F$139)</f>
        <v>Presence</v>
      </c>
      <c r="Q88" s="146" t="str">
        <f>LOOKUP($K88,PantheonList!$A$18:$A$139,PantheonList!$G$18:$G$139)</f>
        <v>Survival</v>
      </c>
      <c r="R88" s="146" t="str">
        <f t="shared" si="16"/>
        <v>No</v>
      </c>
      <c r="S88" s="146" t="str">
        <f t="shared" si="16"/>
        <v>Yes</v>
      </c>
      <c r="T88" s="146" t="str">
        <f t="shared" si="16"/>
        <v>No</v>
      </c>
      <c r="U88" s="146" t="str">
        <f t="shared" si="16"/>
        <v>Yes</v>
      </c>
      <c r="V88" s="146" t="str">
        <f t="shared" si="16"/>
        <v>No</v>
      </c>
      <c r="W88" s="146" t="str">
        <f t="shared" si="16"/>
        <v>No</v>
      </c>
      <c r="X88" s="146" t="str">
        <f t="shared" si="16"/>
        <v>Yes</v>
      </c>
      <c r="Y88" s="146" t="str">
        <f t="shared" si="16"/>
        <v>No</v>
      </c>
      <c r="Z88" s="146" t="str">
        <f t="shared" si="16"/>
        <v>No</v>
      </c>
      <c r="AA88" s="146" t="str">
        <f t="shared" si="16"/>
        <v>No</v>
      </c>
      <c r="AB88" s="146" t="str">
        <f t="shared" si="17"/>
        <v>No</v>
      </c>
      <c r="AC88" s="146" t="str">
        <f t="shared" si="17"/>
        <v>No</v>
      </c>
      <c r="AD88" s="146" t="str">
        <f t="shared" si="17"/>
        <v>No</v>
      </c>
      <c r="AE88" s="146" t="str">
        <f t="shared" si="17"/>
        <v>No</v>
      </c>
      <c r="AF88" s="146" t="str">
        <f t="shared" si="17"/>
        <v>No</v>
      </c>
      <c r="AG88" s="146" t="str">
        <f t="shared" si="17"/>
        <v>No</v>
      </c>
      <c r="AH88" s="146" t="str">
        <f t="shared" si="17"/>
        <v>Yes</v>
      </c>
      <c r="AI88" s="146" t="str">
        <f t="shared" si="17"/>
        <v>No</v>
      </c>
      <c r="AJ88" s="146" t="str">
        <f t="shared" si="17"/>
        <v>No</v>
      </c>
      <c r="AK88" s="146" t="str">
        <f t="shared" si="17"/>
        <v>Yes</v>
      </c>
      <c r="AL88" s="146" t="str">
        <f t="shared" si="17"/>
        <v>No</v>
      </c>
      <c r="AM88" s="146" t="str">
        <f t="shared" si="17"/>
        <v>No</v>
      </c>
      <c r="AN88" s="146" t="str">
        <f t="shared" si="17"/>
        <v>Yes</v>
      </c>
      <c r="AO88" s="149" t="str">
        <f t="shared" si="17"/>
        <v>No</v>
      </c>
      <c r="AP88" s="181" t="s">
        <v>273</v>
      </c>
      <c r="AQ88" s="146">
        <v>88</v>
      </c>
      <c r="AR88" s="146" t="s">
        <v>360</v>
      </c>
      <c r="AS88" s="146" t="s">
        <v>360</v>
      </c>
      <c r="AT88" s="146" t="s">
        <v>361</v>
      </c>
      <c r="AU88" s="146" t="s">
        <v>361</v>
      </c>
      <c r="AV88" s="146" t="s">
        <v>361</v>
      </c>
      <c r="AW88" s="146" t="s">
        <v>361</v>
      </c>
      <c r="AX88" s="146" t="s">
        <v>361</v>
      </c>
      <c r="AY88" s="146" t="s">
        <v>361</v>
      </c>
      <c r="AZ88" s="146" t="s">
        <v>361</v>
      </c>
      <c r="BA88" s="146" t="s">
        <v>361</v>
      </c>
      <c r="BB88" s="146" t="s">
        <v>361</v>
      </c>
      <c r="BC88" s="146" t="s">
        <v>361</v>
      </c>
      <c r="BD88" s="146" t="s">
        <v>361</v>
      </c>
      <c r="BE88" s="146" t="s">
        <v>361</v>
      </c>
      <c r="BF88" s="146" t="s">
        <v>361</v>
      </c>
      <c r="BG88" s="146" t="s">
        <v>361</v>
      </c>
      <c r="BH88" s="146" t="s">
        <v>361</v>
      </c>
      <c r="BI88" s="146" t="s">
        <v>361</v>
      </c>
      <c r="BJ88" s="146" t="s">
        <v>361</v>
      </c>
      <c r="BK88" s="146" t="s">
        <v>361</v>
      </c>
      <c r="BL88" s="146" t="s">
        <v>361</v>
      </c>
      <c r="BM88" s="146" t="s">
        <v>361</v>
      </c>
      <c r="BN88" s="146" t="s">
        <v>361</v>
      </c>
      <c r="BO88" s="146" t="s">
        <v>361</v>
      </c>
      <c r="BP88" s="146" t="s">
        <v>361</v>
      </c>
      <c r="BQ88" s="146" t="s">
        <v>361</v>
      </c>
      <c r="BR88" s="146" t="s">
        <v>361</v>
      </c>
      <c r="BS88" s="146" t="s">
        <v>361</v>
      </c>
      <c r="BT88" s="146" t="s">
        <v>361</v>
      </c>
      <c r="BU88" s="146" t="s">
        <v>361</v>
      </c>
      <c r="BV88" s="146" t="s">
        <v>361</v>
      </c>
      <c r="BW88" s="146" t="s">
        <v>361</v>
      </c>
      <c r="BX88" s="146" t="s">
        <v>361</v>
      </c>
      <c r="BY88" s="146" t="s">
        <v>360</v>
      </c>
      <c r="BZ88" s="149" t="s">
        <v>361</v>
      </c>
    </row>
    <row r="89" spans="1:78" s="2" customFormat="1" x14ac:dyDescent="0.25">
      <c r="A89" s="181" t="s">
        <v>224</v>
      </c>
      <c r="B89" s="146" t="s">
        <v>361</v>
      </c>
      <c r="C89" s="146" t="s">
        <v>360</v>
      </c>
      <c r="D89" s="146" t="s">
        <v>361</v>
      </c>
      <c r="E89" s="146" t="s">
        <v>361</v>
      </c>
      <c r="F89" s="146" t="s">
        <v>361</v>
      </c>
      <c r="G89" s="146" t="s">
        <v>360</v>
      </c>
      <c r="H89" s="146" t="s">
        <v>361</v>
      </c>
      <c r="I89" s="146" t="s">
        <v>361</v>
      </c>
      <c r="J89" s="149" t="s">
        <v>361</v>
      </c>
      <c r="K89" s="181" t="s">
        <v>224</v>
      </c>
      <c r="L89" s="146" t="str">
        <f>LOOKUP($K89,PantheonList!$A$18:$A$139,PantheonList!$B$18:$B$139)</f>
        <v>Athletics</v>
      </c>
      <c r="M89" s="146" t="str">
        <f>LOOKUP($K89,PantheonList!$A$18:$A$139,PantheonList!$C$18:$C$139)</f>
        <v>Brawl</v>
      </c>
      <c r="N89" s="146" t="str">
        <f>LOOKUP($K89,PantheonList!$A$18:$A$139,PantheonList!$D$18:$D$139)</f>
        <v>Fortitude</v>
      </c>
      <c r="O89" s="146" t="str">
        <f>LOOKUP($K89,PantheonList!$A$18:$A$139,PantheonList!$E$18:$E$139)</f>
        <v>Marksmanship</v>
      </c>
      <c r="P89" s="146" t="str">
        <f>LOOKUP($K89,PantheonList!$A$18:$A$139,PantheonList!$F$18:$F$139)</f>
        <v>Presence</v>
      </c>
      <c r="Q89" s="146" t="str">
        <f>LOOKUP($K89,PantheonList!$A$18:$A$139,PantheonList!$G$18:$G$139)</f>
        <v>Science</v>
      </c>
      <c r="R89" s="146" t="str">
        <f t="shared" si="16"/>
        <v>No</v>
      </c>
      <c r="S89" s="146" t="str">
        <f t="shared" si="16"/>
        <v>No</v>
      </c>
      <c r="T89" s="146" t="str">
        <f t="shared" si="16"/>
        <v>No</v>
      </c>
      <c r="U89" s="146" t="str">
        <f t="shared" si="16"/>
        <v>Yes</v>
      </c>
      <c r="V89" s="146" t="str">
        <f t="shared" si="16"/>
        <v>No</v>
      </c>
      <c r="W89" s="146" t="str">
        <f t="shared" si="16"/>
        <v>Yes</v>
      </c>
      <c r="X89" s="146" t="str">
        <f t="shared" si="16"/>
        <v>No</v>
      </c>
      <c r="Y89" s="146" t="str">
        <f t="shared" si="16"/>
        <v>No</v>
      </c>
      <c r="Z89" s="146" t="str">
        <f t="shared" si="16"/>
        <v>No</v>
      </c>
      <c r="AA89" s="146" t="str">
        <f t="shared" si="16"/>
        <v>No</v>
      </c>
      <c r="AB89" s="146" t="str">
        <f t="shared" si="17"/>
        <v>Yes</v>
      </c>
      <c r="AC89" s="146" t="str">
        <f t="shared" si="17"/>
        <v>No</v>
      </c>
      <c r="AD89" s="146" t="str">
        <f t="shared" si="17"/>
        <v>No</v>
      </c>
      <c r="AE89" s="146" t="str">
        <f t="shared" si="17"/>
        <v>No</v>
      </c>
      <c r="AF89" s="146" t="str">
        <f t="shared" si="17"/>
        <v>Yes</v>
      </c>
      <c r="AG89" s="146" t="str">
        <f t="shared" si="17"/>
        <v>No</v>
      </c>
      <c r="AH89" s="146" t="str">
        <f t="shared" si="17"/>
        <v>No</v>
      </c>
      <c r="AI89" s="146" t="str">
        <f t="shared" si="17"/>
        <v>No</v>
      </c>
      <c r="AJ89" s="146" t="str">
        <f t="shared" si="17"/>
        <v>No</v>
      </c>
      <c r="AK89" s="146" t="str">
        <f t="shared" si="17"/>
        <v>Yes</v>
      </c>
      <c r="AL89" s="146" t="str">
        <f t="shared" si="17"/>
        <v>Yes</v>
      </c>
      <c r="AM89" s="146" t="str">
        <f t="shared" si="17"/>
        <v>No</v>
      </c>
      <c r="AN89" s="146" t="str">
        <f t="shared" si="17"/>
        <v>No</v>
      </c>
      <c r="AO89" s="149" t="str">
        <f t="shared" si="17"/>
        <v>No</v>
      </c>
      <c r="AP89" s="181" t="s">
        <v>224</v>
      </c>
      <c r="AQ89" s="146">
        <v>89</v>
      </c>
      <c r="AR89" s="146" t="s">
        <v>361</v>
      </c>
      <c r="AS89" s="146" t="s">
        <v>361</v>
      </c>
      <c r="AT89" s="146" t="s">
        <v>361</v>
      </c>
      <c r="AU89" s="146" t="s">
        <v>361</v>
      </c>
      <c r="AV89" s="146" t="s">
        <v>361</v>
      </c>
      <c r="AW89" s="146" t="s">
        <v>361</v>
      </c>
      <c r="AX89" s="146" t="s">
        <v>361</v>
      </c>
      <c r="AY89" s="146" t="s">
        <v>361</v>
      </c>
      <c r="AZ89" s="146" t="s">
        <v>361</v>
      </c>
      <c r="BA89" s="146" t="s">
        <v>361</v>
      </c>
      <c r="BB89" s="146" t="s">
        <v>361</v>
      </c>
      <c r="BC89" s="146" t="s">
        <v>361</v>
      </c>
      <c r="BD89" s="146" t="s">
        <v>361</v>
      </c>
      <c r="BE89" s="146" t="s">
        <v>360</v>
      </c>
      <c r="BF89" s="146" t="s">
        <v>361</v>
      </c>
      <c r="BG89" s="146" t="s">
        <v>361</v>
      </c>
      <c r="BH89" s="146" t="s">
        <v>361</v>
      </c>
      <c r="BI89" s="146" t="s">
        <v>361</v>
      </c>
      <c r="BJ89" s="146" t="s">
        <v>361</v>
      </c>
      <c r="BK89" s="146" t="s">
        <v>361</v>
      </c>
      <c r="BL89" s="146" t="s">
        <v>361</v>
      </c>
      <c r="BM89" s="146" t="s">
        <v>361</v>
      </c>
      <c r="BN89" s="146" t="s">
        <v>361</v>
      </c>
      <c r="BO89" s="146" t="s">
        <v>361</v>
      </c>
      <c r="BP89" s="146" t="s">
        <v>361</v>
      </c>
      <c r="BQ89" s="146" t="s">
        <v>361</v>
      </c>
      <c r="BR89" s="146" t="s">
        <v>361</v>
      </c>
      <c r="BS89" s="146" t="s">
        <v>361</v>
      </c>
      <c r="BT89" s="146" t="s">
        <v>360</v>
      </c>
      <c r="BU89" s="146" t="s">
        <v>361</v>
      </c>
      <c r="BV89" s="146" t="s">
        <v>361</v>
      </c>
      <c r="BW89" s="146" t="s">
        <v>361</v>
      </c>
      <c r="BX89" s="146" t="s">
        <v>360</v>
      </c>
      <c r="BY89" s="146" t="s">
        <v>361</v>
      </c>
      <c r="BZ89" s="149" t="s">
        <v>361</v>
      </c>
    </row>
    <row r="90" spans="1:78" s="2" customFormat="1" x14ac:dyDescent="0.25">
      <c r="A90" s="181" t="s">
        <v>327</v>
      </c>
      <c r="B90" s="146" t="s">
        <v>361</v>
      </c>
      <c r="C90" s="146" t="s">
        <v>360</v>
      </c>
      <c r="D90" s="146" t="s">
        <v>361</v>
      </c>
      <c r="E90" s="146" t="s">
        <v>360</v>
      </c>
      <c r="F90" s="146" t="s">
        <v>361</v>
      </c>
      <c r="G90" s="146" t="s">
        <v>360</v>
      </c>
      <c r="H90" s="146" t="s">
        <v>361</v>
      </c>
      <c r="I90" s="146" t="s">
        <v>361</v>
      </c>
      <c r="J90" s="149" t="s">
        <v>360</v>
      </c>
      <c r="K90" s="181" t="s">
        <v>327</v>
      </c>
      <c r="L90" s="146" t="str">
        <f>LOOKUP($K90,PantheonList!$A$18:$A$139,PantheonList!$B$18:$B$139)</f>
        <v>Athletics</v>
      </c>
      <c r="M90" s="146" t="str">
        <f>LOOKUP($K90,PantheonList!$A$18:$A$139,PantheonList!$C$18:$C$139)</f>
        <v>Larceny</v>
      </c>
      <c r="N90" s="146" t="str">
        <f>LOOKUP($K90,PantheonList!$A$18:$A$139,PantheonList!$D$18:$D$139)</f>
        <v>Marksmanship</v>
      </c>
      <c r="O90" s="146" t="str">
        <f>LOOKUP($K90,PantheonList!$A$18:$A$139,PantheonList!$E$18:$E$139)</f>
        <v>Melee</v>
      </c>
      <c r="P90" s="146" t="str">
        <f>LOOKUP($K90,PantheonList!$A$18:$A$139,PantheonList!$F$18:$F$139)</f>
        <v>Presence</v>
      </c>
      <c r="Q90" s="146" t="str">
        <f>LOOKUP($K90,PantheonList!$A$18:$A$139,PantheonList!$G$18:$G$139)</f>
        <v>Stealth</v>
      </c>
      <c r="R90" s="146" t="str">
        <f t="shared" si="16"/>
        <v>No</v>
      </c>
      <c r="S90" s="146" t="str">
        <f t="shared" si="16"/>
        <v>No</v>
      </c>
      <c r="T90" s="146" t="str">
        <f t="shared" si="16"/>
        <v>No</v>
      </c>
      <c r="U90" s="146" t="str">
        <f t="shared" si="16"/>
        <v>Yes</v>
      </c>
      <c r="V90" s="146" t="str">
        <f t="shared" si="16"/>
        <v>No</v>
      </c>
      <c r="W90" s="146" t="str">
        <f t="shared" si="16"/>
        <v>No</v>
      </c>
      <c r="X90" s="146" t="str">
        <f t="shared" si="16"/>
        <v>No</v>
      </c>
      <c r="Y90" s="146" t="str">
        <f t="shared" si="16"/>
        <v>No</v>
      </c>
      <c r="Z90" s="146" t="str">
        <f t="shared" si="16"/>
        <v>No</v>
      </c>
      <c r="AA90" s="146" t="str">
        <f t="shared" si="16"/>
        <v>No</v>
      </c>
      <c r="AB90" s="146" t="str">
        <f t="shared" si="17"/>
        <v>No</v>
      </c>
      <c r="AC90" s="146" t="str">
        <f t="shared" si="17"/>
        <v>No</v>
      </c>
      <c r="AD90" s="146" t="str">
        <f t="shared" si="17"/>
        <v>No</v>
      </c>
      <c r="AE90" s="146" t="str">
        <f t="shared" si="17"/>
        <v>Yes</v>
      </c>
      <c r="AF90" s="146" t="str">
        <f t="shared" si="17"/>
        <v>Yes</v>
      </c>
      <c r="AG90" s="146" t="str">
        <f t="shared" si="17"/>
        <v>No</v>
      </c>
      <c r="AH90" s="146" t="str">
        <f t="shared" si="17"/>
        <v>Yes</v>
      </c>
      <c r="AI90" s="146" t="str">
        <f t="shared" si="17"/>
        <v>No</v>
      </c>
      <c r="AJ90" s="146" t="str">
        <f t="shared" si="17"/>
        <v>No</v>
      </c>
      <c r="AK90" s="146" t="str">
        <f t="shared" si="17"/>
        <v>Yes</v>
      </c>
      <c r="AL90" s="146" t="str">
        <f t="shared" si="17"/>
        <v>No</v>
      </c>
      <c r="AM90" s="146" t="str">
        <f t="shared" si="17"/>
        <v>Yes</v>
      </c>
      <c r="AN90" s="146" t="str">
        <f t="shared" si="17"/>
        <v>No</v>
      </c>
      <c r="AO90" s="149" t="str">
        <f t="shared" si="17"/>
        <v>No</v>
      </c>
      <c r="AP90" s="181" t="s">
        <v>327</v>
      </c>
      <c r="AQ90" s="146">
        <v>90</v>
      </c>
      <c r="AR90" s="146" t="s">
        <v>361</v>
      </c>
      <c r="AS90" s="146" t="s">
        <v>361</v>
      </c>
      <c r="AT90" s="146" t="s">
        <v>361</v>
      </c>
      <c r="AU90" s="146" t="s">
        <v>360</v>
      </c>
      <c r="AV90" s="146" t="s">
        <v>361</v>
      </c>
      <c r="AW90" s="146" t="s">
        <v>360</v>
      </c>
      <c r="AX90" s="146" t="s">
        <v>360</v>
      </c>
      <c r="AY90" s="146" t="s">
        <v>361</v>
      </c>
      <c r="AZ90" s="146" t="s">
        <v>361</v>
      </c>
      <c r="BA90" s="146" t="s">
        <v>361</v>
      </c>
      <c r="BB90" s="146" t="s">
        <v>361</v>
      </c>
      <c r="BC90" s="146" t="s">
        <v>361</v>
      </c>
      <c r="BD90" s="146" t="s">
        <v>361</v>
      </c>
      <c r="BE90" s="146" t="s">
        <v>361</v>
      </c>
      <c r="BF90" s="146" t="s">
        <v>361</v>
      </c>
      <c r="BG90" s="146" t="s">
        <v>361</v>
      </c>
      <c r="BH90" s="146" t="s">
        <v>361</v>
      </c>
      <c r="BI90" s="146" t="s">
        <v>361</v>
      </c>
      <c r="BJ90" s="146" t="s">
        <v>361</v>
      </c>
      <c r="BK90" s="146" t="s">
        <v>361</v>
      </c>
      <c r="BL90" s="146" t="s">
        <v>361</v>
      </c>
      <c r="BM90" s="146" t="s">
        <v>361</v>
      </c>
      <c r="BN90" s="146" t="s">
        <v>361</v>
      </c>
      <c r="BO90" s="146" t="s">
        <v>361</v>
      </c>
      <c r="BP90" s="146" t="s">
        <v>361</v>
      </c>
      <c r="BQ90" s="146" t="s">
        <v>361</v>
      </c>
      <c r="BR90" s="146" t="s">
        <v>361</v>
      </c>
      <c r="BS90" s="146" t="s">
        <v>361</v>
      </c>
      <c r="BT90" s="146" t="s">
        <v>361</v>
      </c>
      <c r="BU90" s="146" t="s">
        <v>361</v>
      </c>
      <c r="BV90" s="146" t="s">
        <v>361</v>
      </c>
      <c r="BW90" s="146" t="s">
        <v>361</v>
      </c>
      <c r="BX90" s="146" t="s">
        <v>361</v>
      </c>
      <c r="BY90" s="146" t="s">
        <v>361</v>
      </c>
      <c r="BZ90" s="149" t="s">
        <v>361</v>
      </c>
    </row>
    <row r="91" spans="1:78" s="2" customFormat="1" x14ac:dyDescent="0.25">
      <c r="A91" s="181" t="s">
        <v>333</v>
      </c>
      <c r="B91" s="146" t="s">
        <v>360</v>
      </c>
      <c r="C91" s="146" t="s">
        <v>361</v>
      </c>
      <c r="D91" s="146" t="s">
        <v>360</v>
      </c>
      <c r="E91" s="146" t="s">
        <v>361</v>
      </c>
      <c r="F91" s="146" t="s">
        <v>361</v>
      </c>
      <c r="G91" s="146" t="s">
        <v>361</v>
      </c>
      <c r="H91" s="146" t="s">
        <v>361</v>
      </c>
      <c r="I91" s="146" t="s">
        <v>361</v>
      </c>
      <c r="J91" s="149" t="s">
        <v>361</v>
      </c>
      <c r="K91" s="181" t="s">
        <v>333</v>
      </c>
      <c r="L91" s="146" t="str">
        <f>LOOKUP($K91,PantheonList!$A$18:$A$139,PantheonList!$B$18:$B$139)</f>
        <v>Athletics</v>
      </c>
      <c r="M91" s="146" t="str">
        <f>LOOKUP($K91,PantheonList!$A$18:$A$139,PantheonList!$C$18:$C$139)</f>
        <v>Command</v>
      </c>
      <c r="N91" s="146" t="str">
        <f>LOOKUP($K91,PantheonList!$A$18:$A$139,PantheonList!$D$18:$D$139)</f>
        <v>Control</v>
      </c>
      <c r="O91" s="146" t="str">
        <f>LOOKUP($K91,PantheonList!$A$18:$A$139,PantheonList!$E$18:$E$139)</f>
        <v>Fortitude</v>
      </c>
      <c r="P91" s="146" t="str">
        <f>LOOKUP($K91,PantheonList!$A$18:$A$139,PantheonList!$F$18:$F$139)</f>
        <v>Integrity</v>
      </c>
      <c r="Q91" s="146" t="str">
        <f>LOOKUP($K91,PantheonList!$A$18:$A$139,PantheonList!$G$18:$G$139)</f>
        <v>Survival</v>
      </c>
      <c r="R91" s="146" t="str">
        <f t="shared" si="16"/>
        <v>No</v>
      </c>
      <c r="S91" s="146" t="str">
        <f t="shared" si="16"/>
        <v>No</v>
      </c>
      <c r="T91" s="146" t="str">
        <f t="shared" si="16"/>
        <v>No</v>
      </c>
      <c r="U91" s="146" t="str">
        <f t="shared" si="16"/>
        <v>Yes</v>
      </c>
      <c r="V91" s="146" t="str">
        <f t="shared" si="16"/>
        <v>No</v>
      </c>
      <c r="W91" s="146" t="str">
        <f t="shared" si="16"/>
        <v>No</v>
      </c>
      <c r="X91" s="146" t="str">
        <f t="shared" si="16"/>
        <v>Yes</v>
      </c>
      <c r="Y91" s="146" t="str">
        <f t="shared" si="16"/>
        <v>Yes</v>
      </c>
      <c r="Z91" s="146" t="str">
        <f t="shared" si="16"/>
        <v>No</v>
      </c>
      <c r="AA91" s="146" t="str">
        <f t="shared" si="16"/>
        <v>No</v>
      </c>
      <c r="AB91" s="146" t="str">
        <f t="shared" si="17"/>
        <v>Yes</v>
      </c>
      <c r="AC91" s="146" t="str">
        <f t="shared" si="17"/>
        <v>Yes</v>
      </c>
      <c r="AD91" s="146" t="str">
        <f t="shared" si="17"/>
        <v>No</v>
      </c>
      <c r="AE91" s="146" t="str">
        <f t="shared" si="17"/>
        <v>No</v>
      </c>
      <c r="AF91" s="146" t="str">
        <f t="shared" si="17"/>
        <v>No</v>
      </c>
      <c r="AG91" s="146" t="str">
        <f t="shared" si="17"/>
        <v>No</v>
      </c>
      <c r="AH91" s="146" t="str">
        <f t="shared" si="17"/>
        <v>No</v>
      </c>
      <c r="AI91" s="146" t="str">
        <f t="shared" si="17"/>
        <v>No</v>
      </c>
      <c r="AJ91" s="146" t="str">
        <f t="shared" si="17"/>
        <v>No</v>
      </c>
      <c r="AK91" s="146" t="str">
        <f t="shared" si="17"/>
        <v>No</v>
      </c>
      <c r="AL91" s="146" t="str">
        <f t="shared" si="17"/>
        <v>No</v>
      </c>
      <c r="AM91" s="146" t="str">
        <f t="shared" si="17"/>
        <v>No</v>
      </c>
      <c r="AN91" s="146" t="str">
        <f t="shared" si="17"/>
        <v>Yes</v>
      </c>
      <c r="AO91" s="149" t="str">
        <f t="shared" si="17"/>
        <v>No</v>
      </c>
      <c r="AP91" s="181" t="s">
        <v>333</v>
      </c>
      <c r="AQ91" s="146">
        <v>91</v>
      </c>
      <c r="AR91" s="146" t="s">
        <v>360</v>
      </c>
      <c r="AS91" s="146" t="s">
        <v>361</v>
      </c>
      <c r="AT91" s="146" t="s">
        <v>361</v>
      </c>
      <c r="AU91" s="146" t="s">
        <v>361</v>
      </c>
      <c r="AV91" s="146" t="s">
        <v>361</v>
      </c>
      <c r="AW91" s="146" t="s">
        <v>360</v>
      </c>
      <c r="AX91" s="146" t="s">
        <v>361</v>
      </c>
      <c r="AY91" s="146" t="s">
        <v>361</v>
      </c>
      <c r="AZ91" s="146" t="s">
        <v>361</v>
      </c>
      <c r="BA91" s="146" t="s">
        <v>361</v>
      </c>
      <c r="BB91" s="146" t="s">
        <v>360</v>
      </c>
      <c r="BC91" s="146" t="s">
        <v>361</v>
      </c>
      <c r="BD91" s="146" t="s">
        <v>361</v>
      </c>
      <c r="BE91" s="146" t="s">
        <v>361</v>
      </c>
      <c r="BF91" s="146" t="s">
        <v>361</v>
      </c>
      <c r="BG91" s="146" t="s">
        <v>361</v>
      </c>
      <c r="BH91" s="146" t="s">
        <v>361</v>
      </c>
      <c r="BI91" s="146" t="s">
        <v>361</v>
      </c>
      <c r="BJ91" s="146" t="s">
        <v>361</v>
      </c>
      <c r="BK91" s="146" t="s">
        <v>361</v>
      </c>
      <c r="BL91" s="146" t="s">
        <v>360</v>
      </c>
      <c r="BM91" s="146" t="s">
        <v>361</v>
      </c>
      <c r="BN91" s="146" t="s">
        <v>361</v>
      </c>
      <c r="BO91" s="146" t="s">
        <v>361</v>
      </c>
      <c r="BP91" s="146" t="s">
        <v>361</v>
      </c>
      <c r="BQ91" s="146" t="s">
        <v>361</v>
      </c>
      <c r="BR91" s="146" t="s">
        <v>361</v>
      </c>
      <c r="BS91" s="146" t="s">
        <v>361</v>
      </c>
      <c r="BT91" s="146" t="s">
        <v>361</v>
      </c>
      <c r="BU91" s="146" t="s">
        <v>361</v>
      </c>
      <c r="BV91" s="146" t="s">
        <v>361</v>
      </c>
      <c r="BW91" s="146" t="s">
        <v>361</v>
      </c>
      <c r="BX91" s="146" t="s">
        <v>361</v>
      </c>
      <c r="BY91" s="146" t="s">
        <v>360</v>
      </c>
      <c r="BZ91" s="149" t="s">
        <v>361</v>
      </c>
    </row>
    <row r="92" spans="1:78" s="2" customFormat="1" x14ac:dyDescent="0.25">
      <c r="A92" s="181" t="s">
        <v>322</v>
      </c>
      <c r="B92" s="146" t="s">
        <v>360</v>
      </c>
      <c r="C92" s="146" t="s">
        <v>361</v>
      </c>
      <c r="D92" s="146" t="s">
        <v>360</v>
      </c>
      <c r="E92" s="146" t="s">
        <v>361</v>
      </c>
      <c r="F92" s="146" t="s">
        <v>361</v>
      </c>
      <c r="G92" s="146" t="s">
        <v>361</v>
      </c>
      <c r="H92" s="146" t="s">
        <v>361</v>
      </c>
      <c r="I92" s="146" t="s">
        <v>360</v>
      </c>
      <c r="J92" s="149" t="s">
        <v>361</v>
      </c>
      <c r="K92" s="181" t="s">
        <v>322</v>
      </c>
      <c r="L92" s="146" t="str">
        <f>LOOKUP($K92,PantheonList!$A$18:$A$139,PantheonList!$B$18:$B$139)</f>
        <v>Academics</v>
      </c>
      <c r="M92" s="146" t="str">
        <f>LOOKUP($K92,PantheonList!$A$18:$A$139,PantheonList!$C$18:$C$139)</f>
        <v>Command</v>
      </c>
      <c r="N92" s="146" t="str">
        <f>LOOKUP($K92,PantheonList!$A$18:$A$139,PantheonList!$D$18:$D$139)</f>
        <v>Craft</v>
      </c>
      <c r="O92" s="146" t="str">
        <f>LOOKUP($K92,PantheonList!$A$18:$A$139,PantheonList!$E$18:$E$139)</f>
        <v>Fortitude</v>
      </c>
      <c r="P92" s="146" t="str">
        <f>LOOKUP($K92,PantheonList!$A$18:$A$139,PantheonList!$F$18:$F$139)</f>
        <v>Integrity</v>
      </c>
      <c r="Q92" s="146" t="str">
        <f>LOOKUP($K92,PantheonList!$A$18:$A$139,PantheonList!$G$18:$G$139)</f>
        <v>Politics</v>
      </c>
      <c r="R92" s="146" t="str">
        <f t="shared" ref="R92:AA101" si="18">IF(OR($Q92=R$1,$P92=R$1,$O92=R$1,$N92=R$1,$M92=R$1,$L92=R$1),"Yes","No")</f>
        <v>Yes</v>
      </c>
      <c r="S92" s="146" t="str">
        <f t="shared" si="18"/>
        <v>No</v>
      </c>
      <c r="T92" s="146" t="str">
        <f t="shared" si="18"/>
        <v>No</v>
      </c>
      <c r="U92" s="146" t="str">
        <f t="shared" si="18"/>
        <v>No</v>
      </c>
      <c r="V92" s="146" t="str">
        <f t="shared" si="18"/>
        <v>No</v>
      </c>
      <c r="W92" s="146" t="str">
        <f t="shared" si="18"/>
        <v>No</v>
      </c>
      <c r="X92" s="146" t="str">
        <f t="shared" si="18"/>
        <v>Yes</v>
      </c>
      <c r="Y92" s="146" t="str">
        <f t="shared" si="18"/>
        <v>No</v>
      </c>
      <c r="Z92" s="146" t="str">
        <f t="shared" si="18"/>
        <v>Yes</v>
      </c>
      <c r="AA92" s="146" t="str">
        <f t="shared" si="18"/>
        <v>No</v>
      </c>
      <c r="AB92" s="146" t="str">
        <f t="shared" ref="AB92:AO101" si="19">IF(OR($Q92=AB$1,$P92=AB$1,$O92=AB$1,$N92=AB$1,$M92=AB$1,$L92=AB$1),"Yes","No")</f>
        <v>Yes</v>
      </c>
      <c r="AC92" s="146" t="str">
        <f t="shared" si="19"/>
        <v>Yes</v>
      </c>
      <c r="AD92" s="146" t="str">
        <f t="shared" si="19"/>
        <v>No</v>
      </c>
      <c r="AE92" s="146" t="str">
        <f t="shared" si="19"/>
        <v>No</v>
      </c>
      <c r="AF92" s="146" t="str">
        <f t="shared" si="19"/>
        <v>No</v>
      </c>
      <c r="AG92" s="146" t="str">
        <f t="shared" si="19"/>
        <v>No</v>
      </c>
      <c r="AH92" s="146" t="str">
        <f t="shared" si="19"/>
        <v>No</v>
      </c>
      <c r="AI92" s="146" t="str">
        <f t="shared" si="19"/>
        <v>No</v>
      </c>
      <c r="AJ92" s="146" t="str">
        <f t="shared" si="19"/>
        <v>Yes</v>
      </c>
      <c r="AK92" s="146" t="str">
        <f t="shared" si="19"/>
        <v>No</v>
      </c>
      <c r="AL92" s="146" t="str">
        <f t="shared" si="19"/>
        <v>No</v>
      </c>
      <c r="AM92" s="146" t="str">
        <f t="shared" si="19"/>
        <v>No</v>
      </c>
      <c r="AN92" s="146" t="str">
        <f t="shared" si="19"/>
        <v>No</v>
      </c>
      <c r="AO92" s="149" t="str">
        <f t="shared" si="19"/>
        <v>No</v>
      </c>
      <c r="AP92" s="181" t="s">
        <v>322</v>
      </c>
      <c r="AQ92" s="146">
        <v>92</v>
      </c>
      <c r="AR92" s="146" t="s">
        <v>361</v>
      </c>
      <c r="AS92" s="146" t="s">
        <v>361</v>
      </c>
      <c r="AT92" s="146" t="s">
        <v>361</v>
      </c>
      <c r="AU92" s="146" t="s">
        <v>361</v>
      </c>
      <c r="AV92" s="146" t="s">
        <v>361</v>
      </c>
      <c r="AW92" s="146" t="s">
        <v>361</v>
      </c>
      <c r="AX92" s="146" t="s">
        <v>361</v>
      </c>
      <c r="AY92" s="146" t="s">
        <v>361</v>
      </c>
      <c r="AZ92" s="146" t="s">
        <v>361</v>
      </c>
      <c r="BA92" s="146" t="s">
        <v>361</v>
      </c>
      <c r="BB92" s="146" t="s">
        <v>361</v>
      </c>
      <c r="BC92" s="146" t="s">
        <v>361</v>
      </c>
      <c r="BD92" s="146" t="s">
        <v>361</v>
      </c>
      <c r="BE92" s="146" t="s">
        <v>361</v>
      </c>
      <c r="BF92" s="146" t="s">
        <v>361</v>
      </c>
      <c r="BG92" s="146" t="s">
        <v>361</v>
      </c>
      <c r="BH92" s="146" t="s">
        <v>361</v>
      </c>
      <c r="BI92" s="146" t="s">
        <v>360</v>
      </c>
      <c r="BJ92" s="146" t="s">
        <v>361</v>
      </c>
      <c r="BK92" s="146" t="s">
        <v>361</v>
      </c>
      <c r="BL92" s="146" t="s">
        <v>361</v>
      </c>
      <c r="BM92" s="146" t="s">
        <v>361</v>
      </c>
      <c r="BN92" s="146" t="s">
        <v>361</v>
      </c>
      <c r="BO92" s="146" t="s">
        <v>361</v>
      </c>
      <c r="BP92" s="146" t="s">
        <v>361</v>
      </c>
      <c r="BQ92" s="146" t="s">
        <v>361</v>
      </c>
      <c r="BR92" s="146" t="s">
        <v>361</v>
      </c>
      <c r="BS92" s="146" t="s">
        <v>361</v>
      </c>
      <c r="BT92" s="146" t="s">
        <v>361</v>
      </c>
      <c r="BU92" s="146" t="s">
        <v>361</v>
      </c>
      <c r="BV92" s="146" t="s">
        <v>361</v>
      </c>
      <c r="BW92" s="146" t="s">
        <v>361</v>
      </c>
      <c r="BX92" s="146" t="s">
        <v>361</v>
      </c>
      <c r="BY92" s="146" t="s">
        <v>361</v>
      </c>
      <c r="BZ92" s="149" t="s">
        <v>361</v>
      </c>
    </row>
    <row r="93" spans="1:78" s="2" customFormat="1" x14ac:dyDescent="0.25">
      <c r="A93" s="181" t="s">
        <v>256</v>
      </c>
      <c r="B93" s="146" t="s">
        <v>361</v>
      </c>
      <c r="C93" s="146" t="s">
        <v>361</v>
      </c>
      <c r="D93" s="146" t="s">
        <v>361</v>
      </c>
      <c r="E93" s="146" t="s">
        <v>361</v>
      </c>
      <c r="F93" s="146" t="s">
        <v>361</v>
      </c>
      <c r="G93" s="146" t="s">
        <v>360</v>
      </c>
      <c r="H93" s="146" t="s">
        <v>361</v>
      </c>
      <c r="I93" s="146" t="s">
        <v>360</v>
      </c>
      <c r="J93" s="149" t="s">
        <v>361</v>
      </c>
      <c r="K93" s="181" t="s">
        <v>256</v>
      </c>
      <c r="L93" s="146" t="str">
        <f>LOOKUP($K93,PantheonList!$A$18:$A$139,PantheonList!$B$18:$B$139)</f>
        <v>Academics</v>
      </c>
      <c r="M93" s="146" t="str">
        <f>LOOKUP($K93,PantheonList!$A$18:$A$139,PantheonList!$C$18:$C$139)</f>
        <v>Art</v>
      </c>
      <c r="N93" s="146" t="str">
        <f>LOOKUP($K93,PantheonList!$A$18:$A$139,PantheonList!$D$18:$D$139)</f>
        <v>Awareness</v>
      </c>
      <c r="O93" s="146" t="str">
        <f>LOOKUP($K93,PantheonList!$A$18:$A$139,PantheonList!$E$18:$E$139)</f>
        <v>Craft</v>
      </c>
      <c r="P93" s="146" t="str">
        <f>LOOKUP($K93,PantheonList!$A$18:$A$139,PantheonList!$F$18:$F$139)</f>
        <v>Medicine</v>
      </c>
      <c r="Q93" s="146" t="str">
        <f>LOOKUP($K93,PantheonList!$A$18:$A$139,PantheonList!$G$18:$G$139)</f>
        <v>Science</v>
      </c>
      <c r="R93" s="146" t="str">
        <f t="shared" si="18"/>
        <v>Yes</v>
      </c>
      <c r="S93" s="146" t="str">
        <f t="shared" si="18"/>
        <v>No</v>
      </c>
      <c r="T93" s="146" t="str">
        <f t="shared" si="18"/>
        <v>Yes</v>
      </c>
      <c r="U93" s="146" t="str">
        <f t="shared" si="18"/>
        <v>No</v>
      </c>
      <c r="V93" s="146" t="str">
        <f t="shared" si="18"/>
        <v>Yes</v>
      </c>
      <c r="W93" s="146" t="str">
        <f t="shared" si="18"/>
        <v>No</v>
      </c>
      <c r="X93" s="146" t="str">
        <f t="shared" si="18"/>
        <v>No</v>
      </c>
      <c r="Y93" s="146" t="str">
        <f t="shared" si="18"/>
        <v>No</v>
      </c>
      <c r="Z93" s="146" t="str">
        <f t="shared" si="18"/>
        <v>Yes</v>
      </c>
      <c r="AA93" s="146" t="str">
        <f t="shared" si="18"/>
        <v>No</v>
      </c>
      <c r="AB93" s="146" t="str">
        <f t="shared" si="19"/>
        <v>No</v>
      </c>
      <c r="AC93" s="146" t="str">
        <f t="shared" si="19"/>
        <v>No</v>
      </c>
      <c r="AD93" s="146" t="str">
        <f t="shared" si="19"/>
        <v>No</v>
      </c>
      <c r="AE93" s="146" t="str">
        <f t="shared" si="19"/>
        <v>No</v>
      </c>
      <c r="AF93" s="146" t="str">
        <f t="shared" si="19"/>
        <v>No</v>
      </c>
      <c r="AG93" s="146" t="str">
        <f t="shared" si="19"/>
        <v>Yes</v>
      </c>
      <c r="AH93" s="146" t="str">
        <f t="shared" si="19"/>
        <v>No</v>
      </c>
      <c r="AI93" s="146" t="str">
        <f t="shared" si="19"/>
        <v>No</v>
      </c>
      <c r="AJ93" s="146" t="str">
        <f t="shared" si="19"/>
        <v>No</v>
      </c>
      <c r="AK93" s="146" t="str">
        <f t="shared" si="19"/>
        <v>No</v>
      </c>
      <c r="AL93" s="146" t="str">
        <f t="shared" si="19"/>
        <v>Yes</v>
      </c>
      <c r="AM93" s="146" t="str">
        <f t="shared" si="19"/>
        <v>No</v>
      </c>
      <c r="AN93" s="146" t="str">
        <f t="shared" si="19"/>
        <v>No</v>
      </c>
      <c r="AO93" s="149" t="str">
        <f t="shared" si="19"/>
        <v>No</v>
      </c>
      <c r="AP93" s="181" t="s">
        <v>256</v>
      </c>
      <c r="AQ93" s="146">
        <v>93</v>
      </c>
      <c r="AR93" s="146" t="s">
        <v>361</v>
      </c>
      <c r="AS93" s="146" t="s">
        <v>361</v>
      </c>
      <c r="AT93" s="146" t="s">
        <v>361</v>
      </c>
      <c r="AU93" s="146" t="s">
        <v>361</v>
      </c>
      <c r="AV93" s="146" t="s">
        <v>361</v>
      </c>
      <c r="AW93" s="146" t="s">
        <v>361</v>
      </c>
      <c r="AX93" s="146" t="s">
        <v>361</v>
      </c>
      <c r="AY93" s="146" t="s">
        <v>361</v>
      </c>
      <c r="AZ93" s="146" t="s">
        <v>361</v>
      </c>
      <c r="BA93" s="146" t="s">
        <v>361</v>
      </c>
      <c r="BB93" s="146" t="s">
        <v>360</v>
      </c>
      <c r="BC93" s="146" t="s">
        <v>361</v>
      </c>
      <c r="BD93" s="146" t="s">
        <v>361</v>
      </c>
      <c r="BE93" s="146" t="s">
        <v>361</v>
      </c>
      <c r="BF93" s="146" t="s">
        <v>360</v>
      </c>
      <c r="BG93" s="146" t="s">
        <v>361</v>
      </c>
      <c r="BH93" s="146" t="s">
        <v>361</v>
      </c>
      <c r="BI93" s="146" t="s">
        <v>361</v>
      </c>
      <c r="BJ93" s="146" t="s">
        <v>361</v>
      </c>
      <c r="BK93" s="146" t="s">
        <v>361</v>
      </c>
      <c r="BL93" s="146" t="s">
        <v>361</v>
      </c>
      <c r="BM93" s="146" t="s">
        <v>361</v>
      </c>
      <c r="BN93" s="146" t="s">
        <v>361</v>
      </c>
      <c r="BO93" s="146" t="s">
        <v>361</v>
      </c>
      <c r="BP93" s="146" t="s">
        <v>360</v>
      </c>
      <c r="BQ93" s="146" t="s">
        <v>361</v>
      </c>
      <c r="BR93" s="146" t="s">
        <v>360</v>
      </c>
      <c r="BS93" s="146" t="s">
        <v>361</v>
      </c>
      <c r="BT93" s="146" t="s">
        <v>361</v>
      </c>
      <c r="BU93" s="146" t="s">
        <v>361</v>
      </c>
      <c r="BV93" s="146" t="s">
        <v>361</v>
      </c>
      <c r="BW93" s="146" t="s">
        <v>361</v>
      </c>
      <c r="BX93" s="146" t="s">
        <v>361</v>
      </c>
      <c r="BY93" s="146" t="s">
        <v>361</v>
      </c>
      <c r="BZ93" s="149" t="s">
        <v>360</v>
      </c>
    </row>
    <row r="94" spans="1:78" s="2" customFormat="1" x14ac:dyDescent="0.25">
      <c r="A94" s="181" t="s">
        <v>291</v>
      </c>
      <c r="B94" s="146" t="s">
        <v>360</v>
      </c>
      <c r="C94" s="146" t="s">
        <v>361</v>
      </c>
      <c r="D94" s="146" t="s">
        <v>361</v>
      </c>
      <c r="E94" s="146" t="s">
        <v>361</v>
      </c>
      <c r="F94" s="146" t="s">
        <v>360</v>
      </c>
      <c r="G94" s="146" t="s">
        <v>361</v>
      </c>
      <c r="H94" s="146" t="s">
        <v>361</v>
      </c>
      <c r="I94" s="146" t="s">
        <v>361</v>
      </c>
      <c r="J94" s="149" t="s">
        <v>361</v>
      </c>
      <c r="K94" s="181" t="s">
        <v>291</v>
      </c>
      <c r="L94" s="146" t="str">
        <f>LOOKUP($K94,PantheonList!$A$18:$A$139,PantheonList!$B$18:$B$139)</f>
        <v>Brawl</v>
      </c>
      <c r="M94" s="146" t="str">
        <f>LOOKUP($K94,PantheonList!$A$18:$A$139,PantheonList!$C$18:$C$139)</f>
        <v>Command</v>
      </c>
      <c r="N94" s="146" t="str">
        <f>LOOKUP($K94,PantheonList!$A$18:$A$139,PantheonList!$D$18:$D$139)</f>
        <v>Control</v>
      </c>
      <c r="O94" s="146" t="str">
        <f>LOOKUP($K94,PantheonList!$A$18:$A$139,PantheonList!$E$18:$E$139)</f>
        <v>Melee</v>
      </c>
      <c r="P94" s="146" t="str">
        <f>LOOKUP($K94,PantheonList!$A$18:$A$139,PantheonList!$F$18:$F$139)</f>
        <v>Presence</v>
      </c>
      <c r="Q94" s="146" t="str">
        <f>LOOKUP($K94,PantheonList!$A$18:$A$139,PantheonList!$G$18:$G$139)</f>
        <v>Survival</v>
      </c>
      <c r="R94" s="146" t="str">
        <f t="shared" si="18"/>
        <v>No</v>
      </c>
      <c r="S94" s="146" t="str">
        <f t="shared" si="18"/>
        <v>No</v>
      </c>
      <c r="T94" s="146" t="str">
        <f t="shared" si="18"/>
        <v>No</v>
      </c>
      <c r="U94" s="146" t="str">
        <f t="shared" si="18"/>
        <v>No</v>
      </c>
      <c r="V94" s="146" t="str">
        <f t="shared" si="18"/>
        <v>No</v>
      </c>
      <c r="W94" s="146" t="str">
        <f t="shared" si="18"/>
        <v>Yes</v>
      </c>
      <c r="X94" s="146" t="str">
        <f t="shared" si="18"/>
        <v>Yes</v>
      </c>
      <c r="Y94" s="146" t="str">
        <f t="shared" si="18"/>
        <v>Yes</v>
      </c>
      <c r="Z94" s="146" t="str">
        <f t="shared" si="18"/>
        <v>No</v>
      </c>
      <c r="AA94" s="146" t="str">
        <f t="shared" si="18"/>
        <v>No</v>
      </c>
      <c r="AB94" s="146" t="str">
        <f t="shared" si="19"/>
        <v>No</v>
      </c>
      <c r="AC94" s="146" t="str">
        <f t="shared" si="19"/>
        <v>No</v>
      </c>
      <c r="AD94" s="146" t="str">
        <f t="shared" si="19"/>
        <v>No</v>
      </c>
      <c r="AE94" s="146" t="str">
        <f t="shared" si="19"/>
        <v>No</v>
      </c>
      <c r="AF94" s="146" t="str">
        <f t="shared" si="19"/>
        <v>No</v>
      </c>
      <c r="AG94" s="146" t="str">
        <f t="shared" si="19"/>
        <v>No</v>
      </c>
      <c r="AH94" s="146" t="str">
        <f t="shared" si="19"/>
        <v>Yes</v>
      </c>
      <c r="AI94" s="146" t="str">
        <f t="shared" si="19"/>
        <v>No</v>
      </c>
      <c r="AJ94" s="146" t="str">
        <f t="shared" si="19"/>
        <v>No</v>
      </c>
      <c r="AK94" s="146" t="str">
        <f t="shared" si="19"/>
        <v>Yes</v>
      </c>
      <c r="AL94" s="146" t="str">
        <f t="shared" si="19"/>
        <v>No</v>
      </c>
      <c r="AM94" s="146" t="str">
        <f t="shared" si="19"/>
        <v>No</v>
      </c>
      <c r="AN94" s="146" t="str">
        <f t="shared" si="19"/>
        <v>Yes</v>
      </c>
      <c r="AO94" s="149" t="str">
        <f t="shared" si="19"/>
        <v>No</v>
      </c>
      <c r="AP94" s="181" t="s">
        <v>291</v>
      </c>
      <c r="AQ94" s="146">
        <v>94</v>
      </c>
      <c r="AR94" s="146" t="s">
        <v>360</v>
      </c>
      <c r="AS94" s="146" t="s">
        <v>361</v>
      </c>
      <c r="AT94" s="146" t="s">
        <v>361</v>
      </c>
      <c r="AU94" s="146" t="s">
        <v>360</v>
      </c>
      <c r="AV94" s="146" t="s">
        <v>361</v>
      </c>
      <c r="AW94" s="146" t="s">
        <v>361</v>
      </c>
      <c r="AX94" s="146" t="s">
        <v>361</v>
      </c>
      <c r="AY94" s="146" t="s">
        <v>361</v>
      </c>
      <c r="AZ94" s="146" t="s">
        <v>361</v>
      </c>
      <c r="BA94" s="146" t="s">
        <v>361</v>
      </c>
      <c r="BB94" s="146" t="s">
        <v>361</v>
      </c>
      <c r="BC94" s="146" t="s">
        <v>361</v>
      </c>
      <c r="BD94" s="146" t="s">
        <v>361</v>
      </c>
      <c r="BE94" s="146" t="s">
        <v>360</v>
      </c>
      <c r="BF94" s="146" t="s">
        <v>361</v>
      </c>
      <c r="BG94" s="146" t="s">
        <v>360</v>
      </c>
      <c r="BH94" s="146" t="s">
        <v>361</v>
      </c>
      <c r="BI94" s="146" t="s">
        <v>361</v>
      </c>
      <c r="BJ94" s="146" t="s">
        <v>361</v>
      </c>
      <c r="BK94" s="146" t="s">
        <v>361</v>
      </c>
      <c r="BL94" s="146" t="s">
        <v>361</v>
      </c>
      <c r="BM94" s="146" t="s">
        <v>361</v>
      </c>
      <c r="BN94" s="146" t="s">
        <v>361</v>
      </c>
      <c r="BO94" s="146" t="s">
        <v>361</v>
      </c>
      <c r="BP94" s="146" t="s">
        <v>361</v>
      </c>
      <c r="BQ94" s="146" t="s">
        <v>361</v>
      </c>
      <c r="BR94" s="146" t="s">
        <v>361</v>
      </c>
      <c r="BS94" s="146" t="s">
        <v>361</v>
      </c>
      <c r="BT94" s="146" t="s">
        <v>360</v>
      </c>
      <c r="BU94" s="146" t="s">
        <v>361</v>
      </c>
      <c r="BV94" s="146" t="s">
        <v>361</v>
      </c>
      <c r="BW94" s="146" t="s">
        <v>361</v>
      </c>
      <c r="BX94" s="146" t="s">
        <v>361</v>
      </c>
      <c r="BY94" s="146" t="s">
        <v>360</v>
      </c>
      <c r="BZ94" s="149" t="s">
        <v>361</v>
      </c>
    </row>
    <row r="95" spans="1:78" s="2" customFormat="1" x14ac:dyDescent="0.25">
      <c r="A95" s="181" t="s">
        <v>282</v>
      </c>
      <c r="B95" s="146" t="s">
        <v>360</v>
      </c>
      <c r="C95" s="146" t="s">
        <v>361</v>
      </c>
      <c r="D95" s="146" t="s">
        <v>361</v>
      </c>
      <c r="E95" s="146" t="s">
        <v>360</v>
      </c>
      <c r="F95" s="146" t="s">
        <v>361</v>
      </c>
      <c r="G95" s="146" t="s">
        <v>361</v>
      </c>
      <c r="H95" s="146" t="s">
        <v>361</v>
      </c>
      <c r="I95" s="146" t="s">
        <v>361</v>
      </c>
      <c r="J95" s="149" t="s">
        <v>361</v>
      </c>
      <c r="K95" s="181" t="s">
        <v>282</v>
      </c>
      <c r="L95" s="146" t="str">
        <f>LOOKUP($K95,PantheonList!$A$18:$A$139,PantheonList!$B$18:$B$139)</f>
        <v>Art</v>
      </c>
      <c r="M95" s="146" t="str">
        <f>LOOKUP($K95,PantheonList!$A$18:$A$139,PantheonList!$C$18:$C$139)</f>
        <v>Command</v>
      </c>
      <c r="N95" s="146" t="str">
        <f>LOOKUP($K95,PantheonList!$A$18:$A$139,PantheonList!$D$18:$D$139)</f>
        <v>Fortitude</v>
      </c>
      <c r="O95" s="146" t="str">
        <f>LOOKUP($K95,PantheonList!$A$18:$A$139,PantheonList!$E$18:$E$139)</f>
        <v>Integrity</v>
      </c>
      <c r="P95" s="146" t="str">
        <f>LOOKUP($K95,PantheonList!$A$18:$A$139,PantheonList!$F$18:$F$139)</f>
        <v>Melee</v>
      </c>
      <c r="Q95" s="146" t="str">
        <f>LOOKUP($K95,PantheonList!$A$18:$A$139,PantheonList!$G$18:$G$139)</f>
        <v>Presence</v>
      </c>
      <c r="R95" s="146" t="str">
        <f t="shared" si="18"/>
        <v>No</v>
      </c>
      <c r="S95" s="146" t="str">
        <f t="shared" si="18"/>
        <v>No</v>
      </c>
      <c r="T95" s="146" t="str">
        <f t="shared" si="18"/>
        <v>Yes</v>
      </c>
      <c r="U95" s="146" t="str">
        <f t="shared" si="18"/>
        <v>No</v>
      </c>
      <c r="V95" s="146" t="str">
        <f t="shared" si="18"/>
        <v>No</v>
      </c>
      <c r="W95" s="146" t="str">
        <f t="shared" si="18"/>
        <v>No</v>
      </c>
      <c r="X95" s="146" t="str">
        <f t="shared" si="18"/>
        <v>Yes</v>
      </c>
      <c r="Y95" s="146" t="str">
        <f t="shared" si="18"/>
        <v>No</v>
      </c>
      <c r="Z95" s="146" t="str">
        <f t="shared" si="18"/>
        <v>No</v>
      </c>
      <c r="AA95" s="146" t="str">
        <f t="shared" si="18"/>
        <v>No</v>
      </c>
      <c r="AB95" s="146" t="str">
        <f t="shared" si="19"/>
        <v>Yes</v>
      </c>
      <c r="AC95" s="146" t="str">
        <f t="shared" si="19"/>
        <v>Yes</v>
      </c>
      <c r="AD95" s="146" t="str">
        <f t="shared" si="19"/>
        <v>No</v>
      </c>
      <c r="AE95" s="146" t="str">
        <f t="shared" si="19"/>
        <v>No</v>
      </c>
      <c r="AF95" s="146" t="str">
        <f t="shared" si="19"/>
        <v>No</v>
      </c>
      <c r="AG95" s="146" t="str">
        <f t="shared" si="19"/>
        <v>No</v>
      </c>
      <c r="AH95" s="146" t="str">
        <f t="shared" si="19"/>
        <v>Yes</v>
      </c>
      <c r="AI95" s="146" t="str">
        <f t="shared" si="19"/>
        <v>No</v>
      </c>
      <c r="AJ95" s="146" t="str">
        <f t="shared" si="19"/>
        <v>No</v>
      </c>
      <c r="AK95" s="146" t="str">
        <f t="shared" si="19"/>
        <v>Yes</v>
      </c>
      <c r="AL95" s="146" t="str">
        <f t="shared" si="19"/>
        <v>No</v>
      </c>
      <c r="AM95" s="146" t="str">
        <f t="shared" si="19"/>
        <v>No</v>
      </c>
      <c r="AN95" s="146" t="str">
        <f t="shared" si="19"/>
        <v>No</v>
      </c>
      <c r="AO95" s="149" t="str">
        <f t="shared" si="19"/>
        <v>No</v>
      </c>
      <c r="AP95" s="181" t="s">
        <v>282</v>
      </c>
      <c r="AQ95" s="146">
        <v>95</v>
      </c>
      <c r="AR95" s="146" t="s">
        <v>361</v>
      </c>
      <c r="AS95" s="146" t="s">
        <v>361</v>
      </c>
      <c r="AT95" s="146" t="s">
        <v>361</v>
      </c>
      <c r="AU95" s="146" t="s">
        <v>361</v>
      </c>
      <c r="AV95" s="146" t="s">
        <v>360</v>
      </c>
      <c r="AW95" s="146" t="s">
        <v>361</v>
      </c>
      <c r="AX95" s="146" t="s">
        <v>361</v>
      </c>
      <c r="AY95" s="146" t="s">
        <v>361</v>
      </c>
      <c r="AZ95" s="146" t="s">
        <v>361</v>
      </c>
      <c r="BA95" s="146" t="s">
        <v>361</v>
      </c>
      <c r="BB95" s="146" t="s">
        <v>361</v>
      </c>
      <c r="BC95" s="146" t="s">
        <v>361</v>
      </c>
      <c r="BD95" s="146" t="s">
        <v>361</v>
      </c>
      <c r="BE95" s="146" t="s">
        <v>361</v>
      </c>
      <c r="BF95" s="146" t="s">
        <v>361</v>
      </c>
      <c r="BG95" s="146" t="s">
        <v>361</v>
      </c>
      <c r="BH95" s="146" t="s">
        <v>361</v>
      </c>
      <c r="BI95" s="146" t="s">
        <v>361</v>
      </c>
      <c r="BJ95" s="146" t="s">
        <v>361</v>
      </c>
      <c r="BK95" s="146" t="s">
        <v>361</v>
      </c>
      <c r="BL95" s="146" t="s">
        <v>360</v>
      </c>
      <c r="BM95" s="146" t="s">
        <v>361</v>
      </c>
      <c r="BN95" s="146" t="s">
        <v>361</v>
      </c>
      <c r="BO95" s="146" t="s">
        <v>361</v>
      </c>
      <c r="BP95" s="146" t="s">
        <v>360</v>
      </c>
      <c r="BQ95" s="146" t="s">
        <v>361</v>
      </c>
      <c r="BR95" s="146" t="s">
        <v>361</v>
      </c>
      <c r="BS95" s="146" t="s">
        <v>361</v>
      </c>
      <c r="BT95" s="146" t="s">
        <v>360</v>
      </c>
      <c r="BU95" s="146" t="s">
        <v>361</v>
      </c>
      <c r="BV95" s="146" t="s">
        <v>361</v>
      </c>
      <c r="BW95" s="146" t="s">
        <v>361</v>
      </c>
      <c r="BX95" s="146" t="s">
        <v>361</v>
      </c>
      <c r="BY95" s="146" t="s">
        <v>361</v>
      </c>
      <c r="BZ95" s="149" t="s">
        <v>361</v>
      </c>
    </row>
    <row r="96" spans="1:78" s="2" customFormat="1" x14ac:dyDescent="0.25">
      <c r="A96" s="181" t="s">
        <v>244</v>
      </c>
      <c r="B96" s="146" t="s">
        <v>361</v>
      </c>
      <c r="C96" s="146" t="s">
        <v>361</v>
      </c>
      <c r="D96" s="146" t="s">
        <v>360</v>
      </c>
      <c r="E96" s="146" t="s">
        <v>361</v>
      </c>
      <c r="F96" s="146" t="s">
        <v>361</v>
      </c>
      <c r="G96" s="146" t="s">
        <v>361</v>
      </c>
      <c r="H96" s="146" t="s">
        <v>360</v>
      </c>
      <c r="I96" s="146" t="s">
        <v>360</v>
      </c>
      <c r="J96" s="149" t="s">
        <v>361</v>
      </c>
      <c r="K96" s="181" t="s">
        <v>244</v>
      </c>
      <c r="L96" s="146" t="str">
        <f>LOOKUP($K96,PantheonList!$A$18:$A$139,PantheonList!$B$18:$B$139)</f>
        <v>Awareness</v>
      </c>
      <c r="M96" s="146" t="str">
        <f>LOOKUP($K96,PantheonList!$A$18:$A$139,PantheonList!$C$18:$C$139)</f>
        <v>Command</v>
      </c>
      <c r="N96" s="146" t="str">
        <f>LOOKUP($K96,PantheonList!$A$18:$A$139,PantheonList!$D$18:$D$139)</f>
        <v>Fortitude</v>
      </c>
      <c r="O96" s="146" t="str">
        <f>LOOKUP($K96,PantheonList!$A$18:$A$139,PantheonList!$E$18:$E$139)</f>
        <v>Integrity</v>
      </c>
      <c r="P96" s="146" t="str">
        <f>LOOKUP($K96,PantheonList!$A$18:$A$139,PantheonList!$F$18:$F$139)</f>
        <v>Medicine</v>
      </c>
      <c r="Q96" s="146" t="str">
        <f>LOOKUP($K96,PantheonList!$A$18:$A$139,PantheonList!$G$18:$G$139)</f>
        <v>Survival</v>
      </c>
      <c r="R96" s="146" t="str">
        <f t="shared" si="18"/>
        <v>No</v>
      </c>
      <c r="S96" s="146" t="str">
        <f t="shared" si="18"/>
        <v>No</v>
      </c>
      <c r="T96" s="146" t="str">
        <f t="shared" si="18"/>
        <v>No</v>
      </c>
      <c r="U96" s="146" t="str">
        <f t="shared" si="18"/>
        <v>No</v>
      </c>
      <c r="V96" s="146" t="str">
        <f t="shared" si="18"/>
        <v>Yes</v>
      </c>
      <c r="W96" s="146" t="str">
        <f t="shared" si="18"/>
        <v>No</v>
      </c>
      <c r="X96" s="146" t="str">
        <f t="shared" si="18"/>
        <v>Yes</v>
      </c>
      <c r="Y96" s="146" t="str">
        <f t="shared" si="18"/>
        <v>No</v>
      </c>
      <c r="Z96" s="146" t="str">
        <f t="shared" si="18"/>
        <v>No</v>
      </c>
      <c r="AA96" s="146" t="str">
        <f t="shared" si="18"/>
        <v>No</v>
      </c>
      <c r="AB96" s="146" t="str">
        <f t="shared" si="19"/>
        <v>Yes</v>
      </c>
      <c r="AC96" s="146" t="str">
        <f t="shared" si="19"/>
        <v>Yes</v>
      </c>
      <c r="AD96" s="146" t="str">
        <f t="shared" si="19"/>
        <v>No</v>
      </c>
      <c r="AE96" s="146" t="str">
        <f t="shared" si="19"/>
        <v>No</v>
      </c>
      <c r="AF96" s="146" t="str">
        <f t="shared" si="19"/>
        <v>No</v>
      </c>
      <c r="AG96" s="146" t="str">
        <f t="shared" si="19"/>
        <v>Yes</v>
      </c>
      <c r="AH96" s="146" t="str">
        <f t="shared" si="19"/>
        <v>No</v>
      </c>
      <c r="AI96" s="146" t="str">
        <f t="shared" si="19"/>
        <v>No</v>
      </c>
      <c r="AJ96" s="146" t="str">
        <f t="shared" si="19"/>
        <v>No</v>
      </c>
      <c r="AK96" s="146" t="str">
        <f t="shared" si="19"/>
        <v>No</v>
      </c>
      <c r="AL96" s="146" t="str">
        <f t="shared" si="19"/>
        <v>No</v>
      </c>
      <c r="AM96" s="146" t="str">
        <f t="shared" si="19"/>
        <v>No</v>
      </c>
      <c r="AN96" s="146" t="str">
        <f t="shared" si="19"/>
        <v>Yes</v>
      </c>
      <c r="AO96" s="149" t="str">
        <f t="shared" si="19"/>
        <v>No</v>
      </c>
      <c r="AP96" s="181" t="s">
        <v>244</v>
      </c>
      <c r="AQ96" s="146">
        <v>96</v>
      </c>
      <c r="AR96" s="146" t="s">
        <v>361</v>
      </c>
      <c r="AS96" s="146" t="s">
        <v>361</v>
      </c>
      <c r="AT96" s="146" t="s">
        <v>361</v>
      </c>
      <c r="AU96" s="146" t="s">
        <v>361</v>
      </c>
      <c r="AV96" s="146" t="s">
        <v>361</v>
      </c>
      <c r="AW96" s="146" t="s">
        <v>361</v>
      </c>
      <c r="AX96" s="146" t="s">
        <v>361</v>
      </c>
      <c r="AY96" s="146" t="s">
        <v>361</v>
      </c>
      <c r="AZ96" s="146" t="s">
        <v>361</v>
      </c>
      <c r="BA96" s="146" t="s">
        <v>361</v>
      </c>
      <c r="BB96" s="146" t="s">
        <v>360</v>
      </c>
      <c r="BC96" s="146" t="s">
        <v>360</v>
      </c>
      <c r="BD96" s="146" t="s">
        <v>361</v>
      </c>
      <c r="BE96" s="146" t="s">
        <v>361</v>
      </c>
      <c r="BF96" s="146" t="s">
        <v>360</v>
      </c>
      <c r="BG96" s="146" t="s">
        <v>361</v>
      </c>
      <c r="BH96" s="146" t="s">
        <v>361</v>
      </c>
      <c r="BI96" s="146" t="s">
        <v>361</v>
      </c>
      <c r="BJ96" s="146" t="s">
        <v>361</v>
      </c>
      <c r="BK96" s="146" t="s">
        <v>361</v>
      </c>
      <c r="BL96" s="146" t="s">
        <v>361</v>
      </c>
      <c r="BM96" s="146" t="s">
        <v>361</v>
      </c>
      <c r="BN96" s="146" t="s">
        <v>361</v>
      </c>
      <c r="BO96" s="146" t="s">
        <v>361</v>
      </c>
      <c r="BP96" s="146" t="s">
        <v>360</v>
      </c>
      <c r="BQ96" s="146" t="s">
        <v>361</v>
      </c>
      <c r="BR96" s="146" t="s">
        <v>361</v>
      </c>
      <c r="BS96" s="146" t="s">
        <v>361</v>
      </c>
      <c r="BT96" s="146" t="s">
        <v>361</v>
      </c>
      <c r="BU96" s="146" t="s">
        <v>361</v>
      </c>
      <c r="BV96" s="146" t="s">
        <v>361</v>
      </c>
      <c r="BW96" s="146" t="s">
        <v>360</v>
      </c>
      <c r="BX96" s="146" t="s">
        <v>361</v>
      </c>
      <c r="BY96" s="146" t="s">
        <v>361</v>
      </c>
      <c r="BZ96" s="149" t="s">
        <v>361</v>
      </c>
    </row>
    <row r="97" spans="1:78" s="2" customFormat="1" x14ac:dyDescent="0.25">
      <c r="A97" s="181" t="s">
        <v>257</v>
      </c>
      <c r="B97" s="146" t="s">
        <v>361</v>
      </c>
      <c r="C97" s="146" t="s">
        <v>360</v>
      </c>
      <c r="D97" s="146" t="s">
        <v>360</v>
      </c>
      <c r="E97" s="146" t="s">
        <v>361</v>
      </c>
      <c r="F97" s="146" t="s">
        <v>361</v>
      </c>
      <c r="G97" s="146" t="s">
        <v>360</v>
      </c>
      <c r="H97" s="146" t="s">
        <v>361</v>
      </c>
      <c r="I97" s="146" t="s">
        <v>361</v>
      </c>
      <c r="J97" s="149" t="s">
        <v>361</v>
      </c>
      <c r="K97" s="181" t="s">
        <v>257</v>
      </c>
      <c r="L97" s="146" t="str">
        <f>LOOKUP($K97,PantheonList!$A$18:$A$139,PantheonList!$B$18:$B$139)</f>
        <v>Athletics</v>
      </c>
      <c r="M97" s="146" t="str">
        <f>LOOKUP($K97,PantheonList!$A$18:$A$139,PantheonList!$C$18:$C$139)</f>
        <v>Brawl</v>
      </c>
      <c r="N97" s="146" t="str">
        <f>LOOKUP($K97,PantheonList!$A$18:$A$139,PantheonList!$D$18:$D$139)</f>
        <v>Command</v>
      </c>
      <c r="O97" s="146" t="str">
        <f>LOOKUP($K97,PantheonList!$A$18:$A$139,PantheonList!$E$18:$E$139)</f>
        <v>Fortitude</v>
      </c>
      <c r="P97" s="146" t="str">
        <f>LOOKUP($K97,PantheonList!$A$18:$A$139,PantheonList!$F$18:$F$139)</f>
        <v>melee</v>
      </c>
      <c r="Q97" s="146" t="str">
        <f>LOOKUP($K97,PantheonList!$A$18:$A$139,PantheonList!$G$18:$G$139)</f>
        <v>Survival</v>
      </c>
      <c r="R97" s="146" t="str">
        <f t="shared" si="18"/>
        <v>No</v>
      </c>
      <c r="S97" s="146" t="str">
        <f t="shared" si="18"/>
        <v>No</v>
      </c>
      <c r="T97" s="146" t="str">
        <f t="shared" si="18"/>
        <v>No</v>
      </c>
      <c r="U97" s="146" t="str">
        <f t="shared" si="18"/>
        <v>Yes</v>
      </c>
      <c r="V97" s="146" t="str">
        <f t="shared" si="18"/>
        <v>No</v>
      </c>
      <c r="W97" s="146" t="str">
        <f t="shared" si="18"/>
        <v>Yes</v>
      </c>
      <c r="X97" s="146" t="str">
        <f t="shared" si="18"/>
        <v>Yes</v>
      </c>
      <c r="Y97" s="146" t="str">
        <f t="shared" si="18"/>
        <v>No</v>
      </c>
      <c r="Z97" s="146" t="str">
        <f t="shared" si="18"/>
        <v>No</v>
      </c>
      <c r="AA97" s="146" t="str">
        <f t="shared" si="18"/>
        <v>No</v>
      </c>
      <c r="AB97" s="146" t="str">
        <f t="shared" si="19"/>
        <v>Yes</v>
      </c>
      <c r="AC97" s="146" t="str">
        <f t="shared" si="19"/>
        <v>No</v>
      </c>
      <c r="AD97" s="146" t="str">
        <f t="shared" si="19"/>
        <v>No</v>
      </c>
      <c r="AE97" s="146" t="str">
        <f t="shared" si="19"/>
        <v>No</v>
      </c>
      <c r="AF97" s="146" t="str">
        <f t="shared" si="19"/>
        <v>No</v>
      </c>
      <c r="AG97" s="146" t="str">
        <f t="shared" si="19"/>
        <v>No</v>
      </c>
      <c r="AH97" s="146" t="str">
        <f t="shared" si="19"/>
        <v>Yes</v>
      </c>
      <c r="AI97" s="146" t="str">
        <f t="shared" si="19"/>
        <v>No</v>
      </c>
      <c r="AJ97" s="146" t="str">
        <f t="shared" si="19"/>
        <v>No</v>
      </c>
      <c r="AK97" s="146" t="str">
        <f t="shared" si="19"/>
        <v>No</v>
      </c>
      <c r="AL97" s="146" t="str">
        <f t="shared" si="19"/>
        <v>No</v>
      </c>
      <c r="AM97" s="146" t="str">
        <f t="shared" si="19"/>
        <v>No</v>
      </c>
      <c r="AN97" s="146" t="str">
        <f t="shared" si="19"/>
        <v>Yes</v>
      </c>
      <c r="AO97" s="149" t="str">
        <f t="shared" si="19"/>
        <v>No</v>
      </c>
      <c r="AP97" s="181" t="s">
        <v>257</v>
      </c>
      <c r="AQ97" s="146">
        <v>97</v>
      </c>
      <c r="AR97" s="146" t="s">
        <v>361</v>
      </c>
      <c r="AS97" s="146" t="s">
        <v>361</v>
      </c>
      <c r="AT97" s="146" t="s">
        <v>361</v>
      </c>
      <c r="AU97" s="146" t="s">
        <v>360</v>
      </c>
      <c r="AV97" s="146" t="s">
        <v>361</v>
      </c>
      <c r="AW97" s="146" t="s">
        <v>361</v>
      </c>
      <c r="AX97" s="146" t="s">
        <v>360</v>
      </c>
      <c r="AY97" s="146" t="s">
        <v>361</v>
      </c>
      <c r="AZ97" s="146" t="s">
        <v>361</v>
      </c>
      <c r="BA97" s="146" t="s">
        <v>361</v>
      </c>
      <c r="BB97" s="146" t="s">
        <v>361</v>
      </c>
      <c r="BC97" s="146" t="s">
        <v>360</v>
      </c>
      <c r="BD97" s="146" t="s">
        <v>361</v>
      </c>
      <c r="BE97" s="146" t="s">
        <v>361</v>
      </c>
      <c r="BF97" s="146" t="s">
        <v>361</v>
      </c>
      <c r="BG97" s="146" t="s">
        <v>361</v>
      </c>
      <c r="BH97" s="146" t="s">
        <v>361</v>
      </c>
      <c r="BI97" s="146" t="s">
        <v>361</v>
      </c>
      <c r="BJ97" s="146" t="s">
        <v>361</v>
      </c>
      <c r="BK97" s="146" t="s">
        <v>361</v>
      </c>
      <c r="BL97" s="146" t="s">
        <v>361</v>
      </c>
      <c r="BM97" s="146" t="s">
        <v>360</v>
      </c>
      <c r="BN97" s="146" t="s">
        <v>361</v>
      </c>
      <c r="BO97" s="146" t="s">
        <v>360</v>
      </c>
      <c r="BP97" s="146" t="s">
        <v>361</v>
      </c>
      <c r="BQ97" s="146" t="s">
        <v>361</v>
      </c>
      <c r="BR97" s="146" t="s">
        <v>360</v>
      </c>
      <c r="BS97" s="146" t="s">
        <v>361</v>
      </c>
      <c r="BT97" s="146" t="s">
        <v>361</v>
      </c>
      <c r="BU97" s="146" t="s">
        <v>361</v>
      </c>
      <c r="BV97" s="146" t="s">
        <v>361</v>
      </c>
      <c r="BW97" s="146" t="s">
        <v>361</v>
      </c>
      <c r="BX97" s="146" t="s">
        <v>361</v>
      </c>
      <c r="BY97" s="146" t="s">
        <v>360</v>
      </c>
      <c r="BZ97" s="149" t="s">
        <v>361</v>
      </c>
    </row>
    <row r="98" spans="1:78" s="2" customFormat="1" x14ac:dyDescent="0.25">
      <c r="A98" s="181" t="s">
        <v>214</v>
      </c>
      <c r="B98" s="146" t="s">
        <v>361</v>
      </c>
      <c r="C98" s="146" t="s">
        <v>361</v>
      </c>
      <c r="D98" s="146" t="s">
        <v>361</v>
      </c>
      <c r="E98" s="146" t="s">
        <v>360</v>
      </c>
      <c r="F98" s="146" t="s">
        <v>361</v>
      </c>
      <c r="G98" s="146" t="s">
        <v>360</v>
      </c>
      <c r="H98" s="146" t="s">
        <v>361</v>
      </c>
      <c r="I98" s="146" t="s">
        <v>361</v>
      </c>
      <c r="J98" s="149" t="s">
        <v>361</v>
      </c>
      <c r="K98" s="181" t="s">
        <v>214</v>
      </c>
      <c r="L98" s="146" t="str">
        <f>LOOKUP($K98,PantheonList!$A$18:$A$139,PantheonList!$B$18:$B$139)</f>
        <v>Athletics</v>
      </c>
      <c r="M98" s="146" t="str">
        <f>LOOKUP($K98,PantheonList!$A$18:$A$139,PantheonList!$C$18:$C$139)</f>
        <v>Empathy</v>
      </c>
      <c r="N98" s="146" t="str">
        <f>LOOKUP($K98,PantheonList!$A$18:$A$139,PantheonList!$D$18:$D$139)</f>
        <v>Integrity</v>
      </c>
      <c r="O98" s="146" t="str">
        <f>LOOKUP($K98,PantheonList!$A$18:$A$139,PantheonList!$E$18:$E$139)</f>
        <v>Melee</v>
      </c>
      <c r="P98" s="146" t="str">
        <f>LOOKUP($K98,PantheonList!$A$18:$A$139,PantheonList!$F$18:$F$139)</f>
        <v>Science</v>
      </c>
      <c r="Q98" s="146" t="str">
        <f>LOOKUP($K98,PantheonList!$A$18:$A$139,PantheonList!$G$18:$G$139)</f>
        <v>Survival</v>
      </c>
      <c r="R98" s="146" t="str">
        <f t="shared" si="18"/>
        <v>No</v>
      </c>
      <c r="S98" s="146" t="str">
        <f t="shared" si="18"/>
        <v>No</v>
      </c>
      <c r="T98" s="146" t="str">
        <f t="shared" si="18"/>
        <v>No</v>
      </c>
      <c r="U98" s="146" t="str">
        <f t="shared" si="18"/>
        <v>Yes</v>
      </c>
      <c r="V98" s="146" t="str">
        <f t="shared" si="18"/>
        <v>No</v>
      </c>
      <c r="W98" s="146" t="str">
        <f t="shared" si="18"/>
        <v>No</v>
      </c>
      <c r="X98" s="146" t="str">
        <f t="shared" si="18"/>
        <v>No</v>
      </c>
      <c r="Y98" s="146" t="str">
        <f t="shared" si="18"/>
        <v>No</v>
      </c>
      <c r="Z98" s="146" t="str">
        <f t="shared" si="18"/>
        <v>No</v>
      </c>
      <c r="AA98" s="146" t="str">
        <f t="shared" si="18"/>
        <v>Yes</v>
      </c>
      <c r="AB98" s="146" t="str">
        <f t="shared" si="19"/>
        <v>No</v>
      </c>
      <c r="AC98" s="146" t="str">
        <f t="shared" si="19"/>
        <v>Yes</v>
      </c>
      <c r="AD98" s="146" t="str">
        <f t="shared" si="19"/>
        <v>No</v>
      </c>
      <c r="AE98" s="146" t="str">
        <f t="shared" si="19"/>
        <v>No</v>
      </c>
      <c r="AF98" s="146" t="str">
        <f t="shared" si="19"/>
        <v>No</v>
      </c>
      <c r="AG98" s="146" t="str">
        <f t="shared" si="19"/>
        <v>No</v>
      </c>
      <c r="AH98" s="146" t="str">
        <f t="shared" si="19"/>
        <v>Yes</v>
      </c>
      <c r="AI98" s="146" t="str">
        <f t="shared" si="19"/>
        <v>No</v>
      </c>
      <c r="AJ98" s="146" t="str">
        <f t="shared" si="19"/>
        <v>No</v>
      </c>
      <c r="AK98" s="146" t="str">
        <f t="shared" si="19"/>
        <v>No</v>
      </c>
      <c r="AL98" s="146" t="str">
        <f t="shared" si="19"/>
        <v>Yes</v>
      </c>
      <c r="AM98" s="146" t="str">
        <f t="shared" si="19"/>
        <v>No</v>
      </c>
      <c r="AN98" s="146" t="str">
        <f t="shared" si="19"/>
        <v>Yes</v>
      </c>
      <c r="AO98" s="149" t="str">
        <f t="shared" si="19"/>
        <v>No</v>
      </c>
      <c r="AP98" s="181" t="s">
        <v>214</v>
      </c>
      <c r="AQ98" s="146">
        <v>98</v>
      </c>
      <c r="AR98" s="146" t="s">
        <v>361</v>
      </c>
      <c r="AS98" s="146" t="s">
        <v>361</v>
      </c>
      <c r="AT98" s="146" t="s">
        <v>361</v>
      </c>
      <c r="AU98" s="146" t="s">
        <v>361</v>
      </c>
      <c r="AV98" s="146" t="s">
        <v>361</v>
      </c>
      <c r="AW98" s="146" t="s">
        <v>361</v>
      </c>
      <c r="AX98" s="146" t="s">
        <v>361</v>
      </c>
      <c r="AY98" s="146" t="s">
        <v>361</v>
      </c>
      <c r="AZ98" s="146" t="s">
        <v>361</v>
      </c>
      <c r="BA98" s="146" t="s">
        <v>361</v>
      </c>
      <c r="BB98" s="146" t="s">
        <v>360</v>
      </c>
      <c r="BC98" s="146" t="s">
        <v>361</v>
      </c>
      <c r="BD98" s="146" t="s">
        <v>361</v>
      </c>
      <c r="BE98" s="146" t="s">
        <v>361</v>
      </c>
      <c r="BF98" s="146" t="s">
        <v>361</v>
      </c>
      <c r="BG98" s="146" t="s">
        <v>361</v>
      </c>
      <c r="BH98" s="146" t="s">
        <v>361</v>
      </c>
      <c r="BI98" s="146" t="s">
        <v>361</v>
      </c>
      <c r="BJ98" s="146" t="s">
        <v>361</v>
      </c>
      <c r="BK98" s="146" t="s">
        <v>360</v>
      </c>
      <c r="BL98" s="146" t="s">
        <v>361</v>
      </c>
      <c r="BM98" s="146" t="s">
        <v>361</v>
      </c>
      <c r="BN98" s="146" t="s">
        <v>361</v>
      </c>
      <c r="BO98" s="146" t="s">
        <v>361</v>
      </c>
      <c r="BP98" s="146" t="s">
        <v>361</v>
      </c>
      <c r="BQ98" s="146" t="s">
        <v>361</v>
      </c>
      <c r="BR98" s="146" t="s">
        <v>361</v>
      </c>
      <c r="BS98" s="146" t="s">
        <v>361</v>
      </c>
      <c r="BT98" s="146" t="s">
        <v>361</v>
      </c>
      <c r="BU98" s="146" t="s">
        <v>361</v>
      </c>
      <c r="BV98" s="146" t="s">
        <v>361</v>
      </c>
      <c r="BW98" s="146" t="s">
        <v>361</v>
      </c>
      <c r="BX98" s="146" t="s">
        <v>361</v>
      </c>
      <c r="BY98" s="146" t="s">
        <v>361</v>
      </c>
      <c r="BZ98" s="149" t="s">
        <v>361</v>
      </c>
    </row>
    <row r="99" spans="1:78" s="2" customFormat="1" x14ac:dyDescent="0.25">
      <c r="A99" s="181" t="s">
        <v>292</v>
      </c>
      <c r="B99" s="146" t="s">
        <v>360</v>
      </c>
      <c r="C99" s="146" t="s">
        <v>361</v>
      </c>
      <c r="D99" s="146" t="s">
        <v>360</v>
      </c>
      <c r="E99" s="146" t="s">
        <v>361</v>
      </c>
      <c r="F99" s="146" t="s">
        <v>361</v>
      </c>
      <c r="G99" s="146" t="s">
        <v>361</v>
      </c>
      <c r="H99" s="146" t="s">
        <v>361</v>
      </c>
      <c r="I99" s="146" t="s">
        <v>361</v>
      </c>
      <c r="J99" s="149" t="s">
        <v>361</v>
      </c>
      <c r="K99" s="181" t="s">
        <v>292</v>
      </c>
      <c r="L99" s="146" t="str">
        <f>LOOKUP($K99,PantheonList!$A$18:$A$139,PantheonList!$B$18:$B$139)</f>
        <v>Athletics</v>
      </c>
      <c r="M99" s="146" t="str">
        <f>LOOKUP($K99,PantheonList!$A$18:$A$139,PantheonList!$C$18:$C$139)</f>
        <v>Awareness</v>
      </c>
      <c r="N99" s="146" t="str">
        <f>LOOKUP($K99,PantheonList!$A$18:$A$139,PantheonList!$D$18:$D$139)</f>
        <v>Brawl</v>
      </c>
      <c r="O99" s="146" t="str">
        <f>LOOKUP($K99,PantheonList!$A$18:$A$139,PantheonList!$E$18:$E$139)</f>
        <v>Larceny</v>
      </c>
      <c r="P99" s="146" t="str">
        <f>LOOKUP($K99,PantheonList!$A$18:$A$139,PantheonList!$F$18:$F$139)</f>
        <v>Presence</v>
      </c>
      <c r="Q99" s="146" t="str">
        <f>LOOKUP($K99,PantheonList!$A$18:$A$139,PantheonList!$G$18:$G$139)</f>
        <v>Stealth</v>
      </c>
      <c r="R99" s="146" t="str">
        <f t="shared" si="18"/>
        <v>No</v>
      </c>
      <c r="S99" s="146" t="str">
        <f t="shared" si="18"/>
        <v>No</v>
      </c>
      <c r="T99" s="146" t="str">
        <f t="shared" si="18"/>
        <v>No</v>
      </c>
      <c r="U99" s="146" t="str">
        <f t="shared" si="18"/>
        <v>Yes</v>
      </c>
      <c r="V99" s="146" t="str">
        <f t="shared" si="18"/>
        <v>Yes</v>
      </c>
      <c r="W99" s="146" t="str">
        <f t="shared" si="18"/>
        <v>Yes</v>
      </c>
      <c r="X99" s="146" t="str">
        <f t="shared" si="18"/>
        <v>No</v>
      </c>
      <c r="Y99" s="146" t="str">
        <f t="shared" si="18"/>
        <v>No</v>
      </c>
      <c r="Z99" s="146" t="str">
        <f t="shared" si="18"/>
        <v>No</v>
      </c>
      <c r="AA99" s="146" t="str">
        <f t="shared" si="18"/>
        <v>No</v>
      </c>
      <c r="AB99" s="146" t="str">
        <f t="shared" si="19"/>
        <v>No</v>
      </c>
      <c r="AC99" s="146" t="str">
        <f t="shared" si="19"/>
        <v>No</v>
      </c>
      <c r="AD99" s="146" t="str">
        <f t="shared" si="19"/>
        <v>No</v>
      </c>
      <c r="AE99" s="146" t="str">
        <f t="shared" si="19"/>
        <v>Yes</v>
      </c>
      <c r="AF99" s="146" t="str">
        <f t="shared" si="19"/>
        <v>No</v>
      </c>
      <c r="AG99" s="146" t="str">
        <f t="shared" si="19"/>
        <v>No</v>
      </c>
      <c r="AH99" s="146" t="str">
        <f t="shared" si="19"/>
        <v>No</v>
      </c>
      <c r="AI99" s="146" t="str">
        <f t="shared" si="19"/>
        <v>No</v>
      </c>
      <c r="AJ99" s="146" t="str">
        <f t="shared" si="19"/>
        <v>No</v>
      </c>
      <c r="AK99" s="146" t="str">
        <f t="shared" si="19"/>
        <v>Yes</v>
      </c>
      <c r="AL99" s="146" t="str">
        <f t="shared" si="19"/>
        <v>No</v>
      </c>
      <c r="AM99" s="146" t="str">
        <f t="shared" si="19"/>
        <v>Yes</v>
      </c>
      <c r="AN99" s="146" t="str">
        <f t="shared" si="19"/>
        <v>No</v>
      </c>
      <c r="AO99" s="149" t="str">
        <f t="shared" si="19"/>
        <v>No</v>
      </c>
      <c r="AP99" s="181" t="s">
        <v>292</v>
      </c>
      <c r="AQ99" s="146">
        <v>99</v>
      </c>
      <c r="AR99" s="146" t="s">
        <v>360</v>
      </c>
      <c r="AS99" s="146" t="s">
        <v>361</v>
      </c>
      <c r="AT99" s="146" t="s">
        <v>361</v>
      </c>
      <c r="AU99" s="146" t="s">
        <v>361</v>
      </c>
      <c r="AV99" s="146" t="s">
        <v>361</v>
      </c>
      <c r="AW99" s="146" t="s">
        <v>361</v>
      </c>
      <c r="AX99" s="146" t="s">
        <v>361</v>
      </c>
      <c r="AY99" s="146" t="s">
        <v>361</v>
      </c>
      <c r="AZ99" s="146" t="s">
        <v>361</v>
      </c>
      <c r="BA99" s="146" t="s">
        <v>361</v>
      </c>
      <c r="BB99" s="146" t="s">
        <v>360</v>
      </c>
      <c r="BC99" s="146" t="s">
        <v>361</v>
      </c>
      <c r="BD99" s="146" t="s">
        <v>361</v>
      </c>
      <c r="BE99" s="146" t="s">
        <v>361</v>
      </c>
      <c r="BF99" s="146" t="s">
        <v>361</v>
      </c>
      <c r="BG99" s="146" t="s">
        <v>360</v>
      </c>
      <c r="BH99" s="146" t="s">
        <v>361</v>
      </c>
      <c r="BI99" s="146" t="s">
        <v>361</v>
      </c>
      <c r="BJ99" s="146" t="s">
        <v>361</v>
      </c>
      <c r="BK99" s="146" t="s">
        <v>361</v>
      </c>
      <c r="BL99" s="146" t="s">
        <v>361</v>
      </c>
      <c r="BM99" s="146" t="s">
        <v>361</v>
      </c>
      <c r="BN99" s="146" t="s">
        <v>361</v>
      </c>
      <c r="BO99" s="146" t="s">
        <v>361</v>
      </c>
      <c r="BP99" s="146" t="s">
        <v>361</v>
      </c>
      <c r="BQ99" s="146" t="s">
        <v>361</v>
      </c>
      <c r="BR99" s="146" t="s">
        <v>361</v>
      </c>
      <c r="BS99" s="146" t="s">
        <v>361</v>
      </c>
      <c r="BT99" s="146" t="s">
        <v>361</v>
      </c>
      <c r="BU99" s="146" t="s">
        <v>361</v>
      </c>
      <c r="BV99" s="146" t="s">
        <v>361</v>
      </c>
      <c r="BW99" s="146" t="s">
        <v>361</v>
      </c>
      <c r="BX99" s="146" t="s">
        <v>361</v>
      </c>
      <c r="BY99" s="146" t="s">
        <v>360</v>
      </c>
      <c r="BZ99" s="149" t="s">
        <v>361</v>
      </c>
    </row>
    <row r="100" spans="1:78" s="2" customFormat="1" x14ac:dyDescent="0.25">
      <c r="A100" s="181" t="s">
        <v>309</v>
      </c>
      <c r="B100" s="146" t="s">
        <v>361</v>
      </c>
      <c r="C100" s="146" t="s">
        <v>361</v>
      </c>
      <c r="D100" s="146" t="s">
        <v>361</v>
      </c>
      <c r="E100" s="146" t="s">
        <v>361</v>
      </c>
      <c r="F100" s="146" t="s">
        <v>361</v>
      </c>
      <c r="G100" s="146" t="s">
        <v>360</v>
      </c>
      <c r="H100" s="146" t="s">
        <v>360</v>
      </c>
      <c r="I100" s="146" t="s">
        <v>361</v>
      </c>
      <c r="J100" s="149" t="s">
        <v>361</v>
      </c>
      <c r="K100" s="181" t="s">
        <v>309</v>
      </c>
      <c r="L100" s="146" t="str">
        <f>LOOKUP($K100,PantheonList!$A$18:$A$139,PantheonList!$B$18:$B$139)</f>
        <v>Awareness</v>
      </c>
      <c r="M100" s="146" t="str">
        <f>LOOKUP($K100,PantheonList!$A$18:$A$139,PantheonList!$C$18:$C$139)</f>
        <v>Empathy</v>
      </c>
      <c r="N100" s="146" t="str">
        <f>LOOKUP($K100,PantheonList!$A$18:$A$139,PantheonList!$D$18:$D$139)</f>
        <v>Fortitude</v>
      </c>
      <c r="O100" s="146" t="str">
        <f>LOOKUP($K100,PantheonList!$A$18:$A$139,PantheonList!$E$18:$E$139)</f>
        <v>Integrity</v>
      </c>
      <c r="P100" s="146" t="str">
        <f>LOOKUP($K100,PantheonList!$A$18:$A$139,PantheonList!$F$18:$F$139)</f>
        <v>Medicine</v>
      </c>
      <c r="Q100" s="146" t="str">
        <f>LOOKUP($K100,PantheonList!$A$18:$A$139,PantheonList!$G$18:$G$139)</f>
        <v>Presence</v>
      </c>
      <c r="R100" s="146" t="str">
        <f t="shared" si="18"/>
        <v>No</v>
      </c>
      <c r="S100" s="146" t="str">
        <f t="shared" si="18"/>
        <v>No</v>
      </c>
      <c r="T100" s="146" t="str">
        <f t="shared" si="18"/>
        <v>No</v>
      </c>
      <c r="U100" s="146" t="str">
        <f t="shared" si="18"/>
        <v>No</v>
      </c>
      <c r="V100" s="146" t="str">
        <f t="shared" si="18"/>
        <v>Yes</v>
      </c>
      <c r="W100" s="146" t="str">
        <f t="shared" si="18"/>
        <v>No</v>
      </c>
      <c r="X100" s="146" t="str">
        <f t="shared" si="18"/>
        <v>No</v>
      </c>
      <c r="Y100" s="146" t="str">
        <f t="shared" si="18"/>
        <v>No</v>
      </c>
      <c r="Z100" s="146" t="str">
        <f t="shared" si="18"/>
        <v>No</v>
      </c>
      <c r="AA100" s="146" t="str">
        <f t="shared" si="18"/>
        <v>Yes</v>
      </c>
      <c r="AB100" s="146" t="str">
        <f t="shared" si="19"/>
        <v>Yes</v>
      </c>
      <c r="AC100" s="146" t="str">
        <f t="shared" si="19"/>
        <v>Yes</v>
      </c>
      <c r="AD100" s="146" t="str">
        <f t="shared" si="19"/>
        <v>No</v>
      </c>
      <c r="AE100" s="146" t="str">
        <f t="shared" si="19"/>
        <v>No</v>
      </c>
      <c r="AF100" s="146" t="str">
        <f t="shared" si="19"/>
        <v>No</v>
      </c>
      <c r="AG100" s="146" t="str">
        <f t="shared" si="19"/>
        <v>Yes</v>
      </c>
      <c r="AH100" s="146" t="str">
        <f t="shared" si="19"/>
        <v>No</v>
      </c>
      <c r="AI100" s="146" t="str">
        <f t="shared" si="19"/>
        <v>No</v>
      </c>
      <c r="AJ100" s="146" t="str">
        <f t="shared" si="19"/>
        <v>No</v>
      </c>
      <c r="AK100" s="146" t="str">
        <f t="shared" si="19"/>
        <v>Yes</v>
      </c>
      <c r="AL100" s="146" t="str">
        <f t="shared" si="19"/>
        <v>No</v>
      </c>
      <c r="AM100" s="146" t="str">
        <f t="shared" si="19"/>
        <v>No</v>
      </c>
      <c r="AN100" s="146" t="str">
        <f t="shared" si="19"/>
        <v>No</v>
      </c>
      <c r="AO100" s="149" t="str">
        <f t="shared" si="19"/>
        <v>No</v>
      </c>
      <c r="AP100" s="181" t="s">
        <v>309</v>
      </c>
      <c r="AQ100" s="146">
        <v>100</v>
      </c>
      <c r="AR100" s="146" t="s">
        <v>361</v>
      </c>
      <c r="AS100" s="146" t="s">
        <v>361</v>
      </c>
      <c r="AT100" s="146" t="s">
        <v>360</v>
      </c>
      <c r="AU100" s="146" t="s">
        <v>361</v>
      </c>
      <c r="AV100" s="146" t="s">
        <v>361</v>
      </c>
      <c r="AW100" s="146" t="s">
        <v>361</v>
      </c>
      <c r="AX100" s="146" t="s">
        <v>361</v>
      </c>
      <c r="AY100" s="146" t="s">
        <v>361</v>
      </c>
      <c r="AZ100" s="146" t="s">
        <v>361</v>
      </c>
      <c r="BA100" s="146" t="s">
        <v>361</v>
      </c>
      <c r="BB100" s="146" t="s">
        <v>361</v>
      </c>
      <c r="BC100" s="146" t="s">
        <v>361</v>
      </c>
      <c r="BD100" s="146" t="s">
        <v>361</v>
      </c>
      <c r="BE100" s="146" t="s">
        <v>360</v>
      </c>
      <c r="BF100" s="146" t="s">
        <v>361</v>
      </c>
      <c r="BG100" s="146" t="s">
        <v>361</v>
      </c>
      <c r="BH100" s="146" t="s">
        <v>361</v>
      </c>
      <c r="BI100" s="146" t="s">
        <v>361</v>
      </c>
      <c r="BJ100" s="146" t="s">
        <v>361</v>
      </c>
      <c r="BK100" s="146" t="s">
        <v>361</v>
      </c>
      <c r="BL100" s="146" t="s">
        <v>360</v>
      </c>
      <c r="BM100" s="146" t="s">
        <v>361</v>
      </c>
      <c r="BN100" s="146" t="s">
        <v>361</v>
      </c>
      <c r="BO100" s="146" t="s">
        <v>361</v>
      </c>
      <c r="BP100" s="146" t="s">
        <v>360</v>
      </c>
      <c r="BQ100" s="146" t="s">
        <v>361</v>
      </c>
      <c r="BR100" s="146" t="s">
        <v>361</v>
      </c>
      <c r="BS100" s="146" t="s">
        <v>361</v>
      </c>
      <c r="BT100" s="146" t="s">
        <v>361</v>
      </c>
      <c r="BU100" s="146" t="s">
        <v>361</v>
      </c>
      <c r="BV100" s="146" t="s">
        <v>361</v>
      </c>
      <c r="BW100" s="146" t="s">
        <v>361</v>
      </c>
      <c r="BX100" s="146" t="s">
        <v>361</v>
      </c>
      <c r="BY100" s="146" t="s">
        <v>361</v>
      </c>
      <c r="BZ100" s="149" t="s">
        <v>361</v>
      </c>
    </row>
    <row r="101" spans="1:78" s="2" customFormat="1" x14ac:dyDescent="0.25">
      <c r="A101" s="181" t="s">
        <v>245</v>
      </c>
      <c r="B101" s="146" t="s">
        <v>360</v>
      </c>
      <c r="C101" s="146" t="s">
        <v>360</v>
      </c>
      <c r="D101" s="146" t="s">
        <v>360</v>
      </c>
      <c r="E101" s="146" t="s">
        <v>361</v>
      </c>
      <c r="F101" s="146" t="s">
        <v>361</v>
      </c>
      <c r="G101" s="146" t="s">
        <v>361</v>
      </c>
      <c r="H101" s="146" t="s">
        <v>361</v>
      </c>
      <c r="I101" s="146" t="s">
        <v>361</v>
      </c>
      <c r="J101" s="149" t="s">
        <v>361</v>
      </c>
      <c r="K101" s="181" t="s">
        <v>245</v>
      </c>
      <c r="L101" s="146" t="str">
        <f>LOOKUP($K101,PantheonList!$A$18:$A$139,PantheonList!$B$18:$B$139)</f>
        <v>Athletics</v>
      </c>
      <c r="M101" s="146" t="str">
        <f>LOOKUP($K101,PantheonList!$A$18:$A$139,PantheonList!$C$18:$C$139)</f>
        <v>Brawl</v>
      </c>
      <c r="N101" s="146" t="str">
        <f>LOOKUP($K101,PantheonList!$A$18:$A$139,PantheonList!$D$18:$D$139)</f>
        <v>Fortitude</v>
      </c>
      <c r="O101" s="146" t="str">
        <f>LOOKUP($K101,PantheonList!$A$18:$A$139,PantheonList!$E$18:$E$139)</f>
        <v>Larceny</v>
      </c>
      <c r="P101" s="146" t="str">
        <f>LOOKUP($K101,PantheonList!$A$18:$A$139,PantheonList!$F$18:$F$139)</f>
        <v>Melee</v>
      </c>
      <c r="Q101" s="146" t="str">
        <f>LOOKUP($K101,PantheonList!$A$18:$A$139,PantheonList!$G$18:$G$139)</f>
        <v>Survival</v>
      </c>
      <c r="R101" s="146" t="str">
        <f t="shared" si="18"/>
        <v>No</v>
      </c>
      <c r="S101" s="146" t="str">
        <f t="shared" si="18"/>
        <v>No</v>
      </c>
      <c r="T101" s="146" t="str">
        <f t="shared" si="18"/>
        <v>No</v>
      </c>
      <c r="U101" s="146" t="str">
        <f t="shared" si="18"/>
        <v>Yes</v>
      </c>
      <c r="V101" s="146" t="str">
        <f t="shared" si="18"/>
        <v>No</v>
      </c>
      <c r="W101" s="146" t="str">
        <f t="shared" si="18"/>
        <v>Yes</v>
      </c>
      <c r="X101" s="146" t="str">
        <f t="shared" si="18"/>
        <v>No</v>
      </c>
      <c r="Y101" s="146" t="str">
        <f t="shared" si="18"/>
        <v>No</v>
      </c>
      <c r="Z101" s="146" t="str">
        <f t="shared" si="18"/>
        <v>No</v>
      </c>
      <c r="AA101" s="146" t="str">
        <f t="shared" si="18"/>
        <v>No</v>
      </c>
      <c r="AB101" s="146" t="str">
        <f t="shared" si="19"/>
        <v>Yes</v>
      </c>
      <c r="AC101" s="146" t="str">
        <f t="shared" si="19"/>
        <v>No</v>
      </c>
      <c r="AD101" s="146" t="str">
        <f t="shared" si="19"/>
        <v>No</v>
      </c>
      <c r="AE101" s="146" t="str">
        <f t="shared" si="19"/>
        <v>Yes</v>
      </c>
      <c r="AF101" s="146" t="str">
        <f t="shared" si="19"/>
        <v>No</v>
      </c>
      <c r="AG101" s="146" t="str">
        <f t="shared" si="19"/>
        <v>No</v>
      </c>
      <c r="AH101" s="146" t="str">
        <f t="shared" si="19"/>
        <v>Yes</v>
      </c>
      <c r="AI101" s="146" t="str">
        <f t="shared" si="19"/>
        <v>No</v>
      </c>
      <c r="AJ101" s="146" t="str">
        <f t="shared" si="19"/>
        <v>No</v>
      </c>
      <c r="AK101" s="146" t="str">
        <f t="shared" si="19"/>
        <v>No</v>
      </c>
      <c r="AL101" s="146" t="str">
        <f t="shared" si="19"/>
        <v>No</v>
      </c>
      <c r="AM101" s="146" t="str">
        <f t="shared" si="19"/>
        <v>No</v>
      </c>
      <c r="AN101" s="146" t="str">
        <f t="shared" si="19"/>
        <v>Yes</v>
      </c>
      <c r="AO101" s="149" t="str">
        <f t="shared" si="19"/>
        <v>No</v>
      </c>
      <c r="AP101" s="181" t="s">
        <v>245</v>
      </c>
      <c r="AQ101" s="146">
        <v>101</v>
      </c>
      <c r="AR101" s="146" t="s">
        <v>360</v>
      </c>
      <c r="AS101" s="146" t="s">
        <v>361</v>
      </c>
      <c r="AT101" s="146" t="s">
        <v>361</v>
      </c>
      <c r="AU101" s="146" t="s">
        <v>360</v>
      </c>
      <c r="AV101" s="146" t="s">
        <v>361</v>
      </c>
      <c r="AW101" s="146" t="s">
        <v>361</v>
      </c>
      <c r="AX101" s="146" t="s">
        <v>361</v>
      </c>
      <c r="AY101" s="146" t="s">
        <v>361</v>
      </c>
      <c r="AZ101" s="146" t="s">
        <v>361</v>
      </c>
      <c r="BA101" s="146" t="s">
        <v>361</v>
      </c>
      <c r="BB101" s="146" t="s">
        <v>361</v>
      </c>
      <c r="BC101" s="146" t="s">
        <v>361</v>
      </c>
      <c r="BD101" s="146" t="s">
        <v>361</v>
      </c>
      <c r="BE101" s="146" t="s">
        <v>361</v>
      </c>
      <c r="BF101" s="146" t="s">
        <v>361</v>
      </c>
      <c r="BG101" s="146" t="s">
        <v>361</v>
      </c>
      <c r="BH101" s="146" t="s">
        <v>361</v>
      </c>
      <c r="BI101" s="146" t="s">
        <v>361</v>
      </c>
      <c r="BJ101" s="146" t="s">
        <v>361</v>
      </c>
      <c r="BK101" s="146" t="s">
        <v>361</v>
      </c>
      <c r="BL101" s="146" t="s">
        <v>361</v>
      </c>
      <c r="BM101" s="146" t="s">
        <v>361</v>
      </c>
      <c r="BN101" s="146" t="s">
        <v>361</v>
      </c>
      <c r="BO101" s="146" t="s">
        <v>361</v>
      </c>
      <c r="BP101" s="146" t="s">
        <v>361</v>
      </c>
      <c r="BQ101" s="146" t="s">
        <v>361</v>
      </c>
      <c r="BR101" s="146" t="s">
        <v>361</v>
      </c>
      <c r="BS101" s="146" t="s">
        <v>361</v>
      </c>
      <c r="BT101" s="146" t="s">
        <v>361</v>
      </c>
      <c r="BU101" s="146" t="s">
        <v>361</v>
      </c>
      <c r="BV101" s="146" t="s">
        <v>361</v>
      </c>
      <c r="BW101" s="146" t="s">
        <v>360</v>
      </c>
      <c r="BX101" s="146" t="s">
        <v>361</v>
      </c>
      <c r="BY101" s="146" t="s">
        <v>360</v>
      </c>
      <c r="BZ101" s="149" t="s">
        <v>361</v>
      </c>
    </row>
    <row r="102" spans="1:78" s="2" customFormat="1" x14ac:dyDescent="0.25">
      <c r="A102" s="181" t="s">
        <v>633</v>
      </c>
      <c r="B102" s="146" t="s">
        <v>360</v>
      </c>
      <c r="C102" s="146" t="s">
        <v>361</v>
      </c>
      <c r="D102" s="146" t="s">
        <v>361</v>
      </c>
      <c r="E102" s="146" t="s">
        <v>361</v>
      </c>
      <c r="F102" s="146" t="s">
        <v>360</v>
      </c>
      <c r="G102" s="146" t="s">
        <v>361</v>
      </c>
      <c r="H102" s="146" t="s">
        <v>361</v>
      </c>
      <c r="I102" s="146" t="s">
        <v>361</v>
      </c>
      <c r="J102" s="149" t="s">
        <v>361</v>
      </c>
      <c r="K102" s="181" t="s">
        <v>633</v>
      </c>
      <c r="L102" s="146" t="str">
        <f>LOOKUP($K102,PantheonList!$A$18:$A$139,PantheonList!$B$18:$B$139)</f>
        <v>Awareness</v>
      </c>
      <c r="M102" s="146" t="str">
        <f>LOOKUP($K102,PantheonList!$A$18:$A$139,PantheonList!$C$18:$C$139)</f>
        <v>Brawl</v>
      </c>
      <c r="N102" s="146" t="str">
        <f>LOOKUP($K102,PantheonList!$A$18:$A$139,PantheonList!$D$18:$D$139)</f>
        <v>Investigation</v>
      </c>
      <c r="O102" s="146" t="str">
        <f>LOOKUP($K102,PantheonList!$A$18:$A$139,PantheonList!$E$18:$E$139)</f>
        <v>Marksmanship</v>
      </c>
      <c r="P102" s="146" t="str">
        <f>LOOKUP($K102,PantheonList!$A$18:$A$139,PantheonList!$F$18:$F$139)</f>
        <v>Occult</v>
      </c>
      <c r="Q102" s="146" t="str">
        <f>LOOKUP($K102,PantheonList!$A$18:$A$139,PantheonList!$G$18:$G$139)</f>
        <v>Thrown</v>
      </c>
      <c r="R102" s="146" t="str">
        <f t="shared" ref="R102:AA111" si="20">IF(OR($Q102=R$1,$P102=R$1,$O102=R$1,$N102=R$1,$M102=R$1,$L102=R$1),"Yes","No")</f>
        <v>No</v>
      </c>
      <c r="S102" s="146" t="str">
        <f t="shared" si="20"/>
        <v>No</v>
      </c>
      <c r="T102" s="146" t="str">
        <f t="shared" si="20"/>
        <v>No</v>
      </c>
      <c r="U102" s="146" t="str">
        <f t="shared" si="20"/>
        <v>No</v>
      </c>
      <c r="V102" s="146" t="str">
        <f t="shared" si="20"/>
        <v>Yes</v>
      </c>
      <c r="W102" s="146" t="str">
        <f t="shared" si="20"/>
        <v>Yes</v>
      </c>
      <c r="X102" s="146" t="str">
        <f t="shared" si="20"/>
        <v>No</v>
      </c>
      <c r="Y102" s="146" t="str">
        <f t="shared" si="20"/>
        <v>No</v>
      </c>
      <c r="Z102" s="146" t="str">
        <f t="shared" si="20"/>
        <v>No</v>
      </c>
      <c r="AA102" s="146" t="str">
        <f t="shared" si="20"/>
        <v>No</v>
      </c>
      <c r="AB102" s="146" t="str">
        <f t="shared" ref="AB102:AO111" si="21">IF(OR($Q102=AB$1,$P102=AB$1,$O102=AB$1,$N102=AB$1,$M102=AB$1,$L102=AB$1),"Yes","No")</f>
        <v>No</v>
      </c>
      <c r="AC102" s="146" t="str">
        <f t="shared" si="21"/>
        <v>No</v>
      </c>
      <c r="AD102" s="146" t="str">
        <f t="shared" si="21"/>
        <v>Yes</v>
      </c>
      <c r="AE102" s="146" t="str">
        <f t="shared" si="21"/>
        <v>No</v>
      </c>
      <c r="AF102" s="146" t="str">
        <f t="shared" si="21"/>
        <v>Yes</v>
      </c>
      <c r="AG102" s="146" t="str">
        <f t="shared" si="21"/>
        <v>No</v>
      </c>
      <c r="AH102" s="146" t="str">
        <f t="shared" si="21"/>
        <v>No</v>
      </c>
      <c r="AI102" s="146" t="str">
        <f t="shared" si="21"/>
        <v>Yes</v>
      </c>
      <c r="AJ102" s="146" t="str">
        <f t="shared" si="21"/>
        <v>No</v>
      </c>
      <c r="AK102" s="146" t="str">
        <f t="shared" si="21"/>
        <v>No</v>
      </c>
      <c r="AL102" s="146" t="str">
        <f t="shared" si="21"/>
        <v>No</v>
      </c>
      <c r="AM102" s="146" t="str">
        <f t="shared" si="21"/>
        <v>No</v>
      </c>
      <c r="AN102" s="146" t="str">
        <f t="shared" si="21"/>
        <v>No</v>
      </c>
      <c r="AO102" s="149" t="str">
        <f t="shared" si="21"/>
        <v>Yes</v>
      </c>
      <c r="AP102" s="181" t="s">
        <v>633</v>
      </c>
      <c r="AQ102" s="146">
        <v>102</v>
      </c>
      <c r="AR102" s="146" t="s">
        <v>360</v>
      </c>
      <c r="AS102" s="146" t="s">
        <v>361</v>
      </c>
      <c r="AT102" s="146" t="s">
        <v>361</v>
      </c>
      <c r="AU102" s="146" t="s">
        <v>360</v>
      </c>
      <c r="AV102" s="146" t="s">
        <v>361</v>
      </c>
      <c r="AW102" s="146" t="s">
        <v>361</v>
      </c>
      <c r="AX102" s="146" t="s">
        <v>361</v>
      </c>
      <c r="AY102" s="146" t="s">
        <v>361</v>
      </c>
      <c r="AZ102" s="146" t="s">
        <v>361</v>
      </c>
      <c r="BA102" s="146" t="s">
        <v>361</v>
      </c>
      <c r="BB102" s="146" t="s">
        <v>361</v>
      </c>
      <c r="BC102" s="146" t="s">
        <v>360</v>
      </c>
      <c r="BD102" s="146" t="s">
        <v>361</v>
      </c>
      <c r="BE102" s="146" t="s">
        <v>361</v>
      </c>
      <c r="BF102" s="146" t="s">
        <v>360</v>
      </c>
      <c r="BG102" s="146" t="s">
        <v>361</v>
      </c>
      <c r="BH102" s="146" t="s">
        <v>361</v>
      </c>
      <c r="BI102" s="146" t="s">
        <v>361</v>
      </c>
      <c r="BJ102" s="146" t="s">
        <v>361</v>
      </c>
      <c r="BK102" s="146" t="s">
        <v>361</v>
      </c>
      <c r="BL102" s="146" t="s">
        <v>361</v>
      </c>
      <c r="BM102" s="146" t="s">
        <v>361</v>
      </c>
      <c r="BN102" s="146" t="s">
        <v>361</v>
      </c>
      <c r="BO102" s="146" t="s">
        <v>360</v>
      </c>
      <c r="BP102" s="146" t="s">
        <v>360</v>
      </c>
      <c r="BQ102" s="146" t="s">
        <v>361</v>
      </c>
      <c r="BR102" s="146" t="s">
        <v>360</v>
      </c>
      <c r="BS102" s="146" t="s">
        <v>361</v>
      </c>
      <c r="BT102" s="146" t="s">
        <v>361</v>
      </c>
      <c r="BU102" s="146" t="s">
        <v>361</v>
      </c>
      <c r="BV102" s="146" t="s">
        <v>360</v>
      </c>
      <c r="BW102" s="146" t="s">
        <v>361</v>
      </c>
      <c r="BX102" s="146" t="s">
        <v>361</v>
      </c>
      <c r="BY102" s="146" t="s">
        <v>361</v>
      </c>
      <c r="BZ102" s="149" t="s">
        <v>361</v>
      </c>
    </row>
    <row r="103" spans="1:78" s="2" customFormat="1" x14ac:dyDescent="0.25">
      <c r="A103" s="181" t="s">
        <v>225</v>
      </c>
      <c r="B103" s="146" t="s">
        <v>360</v>
      </c>
      <c r="C103" s="146" t="s">
        <v>361</v>
      </c>
      <c r="D103" s="146" t="s">
        <v>361</v>
      </c>
      <c r="E103" s="146" t="s">
        <v>361</v>
      </c>
      <c r="F103" s="146" t="s">
        <v>361</v>
      </c>
      <c r="G103" s="146" t="s">
        <v>361</v>
      </c>
      <c r="H103" s="146" t="s">
        <v>361</v>
      </c>
      <c r="I103" s="146" t="s">
        <v>361</v>
      </c>
      <c r="J103" s="149" t="s">
        <v>360</v>
      </c>
      <c r="K103" s="181" t="s">
        <v>225</v>
      </c>
      <c r="L103" s="146" t="str">
        <f>LOOKUP($K103,PantheonList!$A$18:$A$139,PantheonList!$B$18:$B$139)</f>
        <v>Awareness</v>
      </c>
      <c r="M103" s="146" t="str">
        <f>LOOKUP($K103,PantheonList!$A$18:$A$139,PantheonList!$C$18:$C$139)</f>
        <v>Brawl</v>
      </c>
      <c r="N103" s="146" t="str">
        <f>LOOKUP($K103,PantheonList!$A$18:$A$139,PantheonList!$D$18:$D$139)</f>
        <v>Craft</v>
      </c>
      <c r="O103" s="146" t="str">
        <f>LOOKUP($K103,PantheonList!$A$18:$A$139,PantheonList!$E$18:$E$139)</f>
        <v>Fortitude</v>
      </c>
      <c r="P103" s="146" t="str">
        <f>LOOKUP($K103,PantheonList!$A$18:$A$139,PantheonList!$F$18:$F$139)</f>
        <v>Melee</v>
      </c>
      <c r="Q103" s="146" t="str">
        <f>LOOKUP($K103,PantheonList!$A$18:$A$139,PantheonList!$G$18:$G$139)</f>
        <v>Presence</v>
      </c>
      <c r="R103" s="146" t="str">
        <f t="shared" si="20"/>
        <v>No</v>
      </c>
      <c r="S103" s="146" t="str">
        <f t="shared" si="20"/>
        <v>No</v>
      </c>
      <c r="T103" s="146" t="str">
        <f t="shared" si="20"/>
        <v>No</v>
      </c>
      <c r="U103" s="146" t="str">
        <f t="shared" si="20"/>
        <v>No</v>
      </c>
      <c r="V103" s="146" t="str">
        <f t="shared" si="20"/>
        <v>Yes</v>
      </c>
      <c r="W103" s="146" t="str">
        <f t="shared" si="20"/>
        <v>Yes</v>
      </c>
      <c r="X103" s="146" t="str">
        <f t="shared" si="20"/>
        <v>No</v>
      </c>
      <c r="Y103" s="146" t="str">
        <f t="shared" si="20"/>
        <v>No</v>
      </c>
      <c r="Z103" s="146" t="str">
        <f t="shared" si="20"/>
        <v>Yes</v>
      </c>
      <c r="AA103" s="146" t="str">
        <f t="shared" si="20"/>
        <v>No</v>
      </c>
      <c r="AB103" s="146" t="str">
        <f t="shared" si="21"/>
        <v>Yes</v>
      </c>
      <c r="AC103" s="146" t="str">
        <f t="shared" si="21"/>
        <v>No</v>
      </c>
      <c r="AD103" s="146" t="str">
        <f t="shared" si="21"/>
        <v>No</v>
      </c>
      <c r="AE103" s="146" t="str">
        <f t="shared" si="21"/>
        <v>No</v>
      </c>
      <c r="AF103" s="146" t="str">
        <f t="shared" si="21"/>
        <v>No</v>
      </c>
      <c r="AG103" s="146" t="str">
        <f t="shared" si="21"/>
        <v>No</v>
      </c>
      <c r="AH103" s="146" t="str">
        <f t="shared" si="21"/>
        <v>Yes</v>
      </c>
      <c r="AI103" s="146" t="str">
        <f t="shared" si="21"/>
        <v>No</v>
      </c>
      <c r="AJ103" s="146" t="str">
        <f t="shared" si="21"/>
        <v>No</v>
      </c>
      <c r="AK103" s="146" t="str">
        <f t="shared" si="21"/>
        <v>Yes</v>
      </c>
      <c r="AL103" s="146" t="str">
        <f t="shared" si="21"/>
        <v>No</v>
      </c>
      <c r="AM103" s="146" t="str">
        <f t="shared" si="21"/>
        <v>No</v>
      </c>
      <c r="AN103" s="146" t="str">
        <f t="shared" si="21"/>
        <v>No</v>
      </c>
      <c r="AO103" s="149" t="str">
        <f t="shared" si="21"/>
        <v>No</v>
      </c>
      <c r="AP103" s="181" t="s">
        <v>225</v>
      </c>
      <c r="AQ103" s="146">
        <v>103</v>
      </c>
      <c r="AR103" s="146" t="s">
        <v>361</v>
      </c>
      <c r="AS103" s="146" t="s">
        <v>361</v>
      </c>
      <c r="AT103" s="146" t="s">
        <v>361</v>
      </c>
      <c r="AU103" s="146" t="s">
        <v>360</v>
      </c>
      <c r="AV103" s="146" t="s">
        <v>361</v>
      </c>
      <c r="AW103" s="146" t="s">
        <v>361</v>
      </c>
      <c r="AX103" s="146" t="s">
        <v>361</v>
      </c>
      <c r="AY103" s="146" t="s">
        <v>361</v>
      </c>
      <c r="AZ103" s="146" t="s">
        <v>361</v>
      </c>
      <c r="BA103" s="146" t="s">
        <v>361</v>
      </c>
      <c r="BB103" s="146" t="s">
        <v>361</v>
      </c>
      <c r="BC103" s="146" t="s">
        <v>361</v>
      </c>
      <c r="BD103" s="146" t="s">
        <v>361</v>
      </c>
      <c r="BE103" s="146" t="s">
        <v>361</v>
      </c>
      <c r="BF103" s="146" t="s">
        <v>361</v>
      </c>
      <c r="BG103" s="146" t="s">
        <v>361</v>
      </c>
      <c r="BH103" s="146" t="s">
        <v>361</v>
      </c>
      <c r="BI103" s="146" t="s">
        <v>361</v>
      </c>
      <c r="BJ103" s="146" t="s">
        <v>361</v>
      </c>
      <c r="BK103" s="146" t="s">
        <v>361</v>
      </c>
      <c r="BL103" s="146" t="s">
        <v>361</v>
      </c>
      <c r="BM103" s="146" t="s">
        <v>361</v>
      </c>
      <c r="BN103" s="146" t="s">
        <v>361</v>
      </c>
      <c r="BO103" s="146" t="s">
        <v>361</v>
      </c>
      <c r="BP103" s="146" t="s">
        <v>361</v>
      </c>
      <c r="BQ103" s="146" t="s">
        <v>360</v>
      </c>
      <c r="BR103" s="146" t="s">
        <v>361</v>
      </c>
      <c r="BS103" s="146" t="s">
        <v>361</v>
      </c>
      <c r="BT103" s="146" t="s">
        <v>360</v>
      </c>
      <c r="BU103" s="146" t="s">
        <v>361</v>
      </c>
      <c r="BV103" s="146" t="s">
        <v>361</v>
      </c>
      <c r="BW103" s="146" t="s">
        <v>361</v>
      </c>
      <c r="BX103" s="146" t="s">
        <v>360</v>
      </c>
      <c r="BY103" s="146" t="s">
        <v>361</v>
      </c>
      <c r="BZ103" s="149" t="s">
        <v>360</v>
      </c>
    </row>
    <row r="104" spans="1:78" s="2" customFormat="1" x14ac:dyDescent="0.25">
      <c r="A104" s="181" t="s">
        <v>231</v>
      </c>
      <c r="B104" s="146" t="s">
        <v>361</v>
      </c>
      <c r="C104" s="146" t="s">
        <v>360</v>
      </c>
      <c r="D104" s="146" t="s">
        <v>361</v>
      </c>
      <c r="E104" s="146" t="s">
        <v>360</v>
      </c>
      <c r="F104" s="146" t="s">
        <v>360</v>
      </c>
      <c r="G104" s="146" t="s">
        <v>360</v>
      </c>
      <c r="H104" s="146" t="s">
        <v>361</v>
      </c>
      <c r="I104" s="146" t="s">
        <v>361</v>
      </c>
      <c r="J104" s="149" t="s">
        <v>360</v>
      </c>
      <c r="K104" s="181" t="s">
        <v>231</v>
      </c>
      <c r="L104" s="146" t="str">
        <f>LOOKUP($K104,PantheonList!$A$18:$A$139,PantheonList!$B$18:$B$139)</f>
        <v>Athletics</v>
      </c>
      <c r="M104" s="146" t="str">
        <f>LOOKUP($K104,PantheonList!$A$18:$A$139,PantheonList!$C$18:$C$139)</f>
        <v>Brawl</v>
      </c>
      <c r="N104" s="146" t="str">
        <f>LOOKUP($K104,PantheonList!$A$18:$A$139,PantheonList!$D$18:$D$139)</f>
        <v>Fortitude</v>
      </c>
      <c r="O104" s="146" t="str">
        <f>LOOKUP($K104,PantheonList!$A$18:$A$139,PantheonList!$E$18:$E$139)</f>
        <v>Occult</v>
      </c>
      <c r="P104" s="146" t="str">
        <f>LOOKUP($K104,PantheonList!$A$18:$A$139,PantheonList!$F$18:$F$139)</f>
        <v>Presence</v>
      </c>
      <c r="Q104" s="146" t="str">
        <f>LOOKUP($K104,PantheonList!$A$18:$A$139,PantheonList!$G$18:$G$139)</f>
        <v>Stealth</v>
      </c>
      <c r="R104" s="146" t="str">
        <f t="shared" si="20"/>
        <v>No</v>
      </c>
      <c r="S104" s="146" t="str">
        <f t="shared" si="20"/>
        <v>No</v>
      </c>
      <c r="T104" s="146" t="str">
        <f t="shared" si="20"/>
        <v>No</v>
      </c>
      <c r="U104" s="146" t="str">
        <f t="shared" si="20"/>
        <v>Yes</v>
      </c>
      <c r="V104" s="146" t="str">
        <f t="shared" si="20"/>
        <v>No</v>
      </c>
      <c r="W104" s="146" t="str">
        <f t="shared" si="20"/>
        <v>Yes</v>
      </c>
      <c r="X104" s="146" t="str">
        <f t="shared" si="20"/>
        <v>No</v>
      </c>
      <c r="Y104" s="146" t="str">
        <f t="shared" si="20"/>
        <v>No</v>
      </c>
      <c r="Z104" s="146" t="str">
        <f t="shared" si="20"/>
        <v>No</v>
      </c>
      <c r="AA104" s="146" t="str">
        <f t="shared" si="20"/>
        <v>No</v>
      </c>
      <c r="AB104" s="146" t="str">
        <f t="shared" si="21"/>
        <v>Yes</v>
      </c>
      <c r="AC104" s="146" t="str">
        <f t="shared" si="21"/>
        <v>No</v>
      </c>
      <c r="AD104" s="146" t="str">
        <f t="shared" si="21"/>
        <v>No</v>
      </c>
      <c r="AE104" s="146" t="str">
        <f t="shared" si="21"/>
        <v>No</v>
      </c>
      <c r="AF104" s="146" t="str">
        <f t="shared" si="21"/>
        <v>No</v>
      </c>
      <c r="AG104" s="146" t="str">
        <f t="shared" si="21"/>
        <v>No</v>
      </c>
      <c r="AH104" s="146" t="str">
        <f t="shared" si="21"/>
        <v>No</v>
      </c>
      <c r="AI104" s="146" t="str">
        <f t="shared" si="21"/>
        <v>Yes</v>
      </c>
      <c r="AJ104" s="146" t="str">
        <f t="shared" si="21"/>
        <v>No</v>
      </c>
      <c r="AK104" s="146" t="str">
        <f t="shared" si="21"/>
        <v>Yes</v>
      </c>
      <c r="AL104" s="146" t="str">
        <f t="shared" si="21"/>
        <v>No</v>
      </c>
      <c r="AM104" s="146" t="str">
        <f t="shared" si="21"/>
        <v>Yes</v>
      </c>
      <c r="AN104" s="146" t="str">
        <f t="shared" si="21"/>
        <v>No</v>
      </c>
      <c r="AO104" s="149" t="str">
        <f t="shared" si="21"/>
        <v>No</v>
      </c>
      <c r="AP104" s="181" t="s">
        <v>231</v>
      </c>
      <c r="AQ104" s="146">
        <v>104</v>
      </c>
      <c r="AR104" s="146" t="s">
        <v>360</v>
      </c>
      <c r="AS104" s="146" t="s">
        <v>361</v>
      </c>
      <c r="AT104" s="146" t="s">
        <v>361</v>
      </c>
      <c r="AU104" s="146" t="s">
        <v>361</v>
      </c>
      <c r="AV104" s="146" t="s">
        <v>361</v>
      </c>
      <c r="AW104" s="146" t="s">
        <v>361</v>
      </c>
      <c r="AX104" s="146" t="s">
        <v>360</v>
      </c>
      <c r="AY104" s="146" t="s">
        <v>361</v>
      </c>
      <c r="AZ104" s="146" t="s">
        <v>361</v>
      </c>
      <c r="BA104" s="146" t="s">
        <v>361</v>
      </c>
      <c r="BB104" s="146" t="s">
        <v>361</v>
      </c>
      <c r="BC104" s="146" t="s">
        <v>361</v>
      </c>
      <c r="BD104" s="146" t="s">
        <v>361</v>
      </c>
      <c r="BE104" s="146" t="s">
        <v>361</v>
      </c>
      <c r="BF104" s="146" t="s">
        <v>361</v>
      </c>
      <c r="BG104" s="146" t="s">
        <v>361</v>
      </c>
      <c r="BH104" s="146" t="s">
        <v>361</v>
      </c>
      <c r="BI104" s="146" t="s">
        <v>361</v>
      </c>
      <c r="BJ104" s="146" t="s">
        <v>360</v>
      </c>
      <c r="BK104" s="146" t="s">
        <v>361</v>
      </c>
      <c r="BL104" s="146" t="s">
        <v>361</v>
      </c>
      <c r="BM104" s="146" t="s">
        <v>360</v>
      </c>
      <c r="BN104" s="146" t="s">
        <v>360</v>
      </c>
      <c r="BO104" s="146" t="s">
        <v>360</v>
      </c>
      <c r="BP104" s="146" t="s">
        <v>360</v>
      </c>
      <c r="BQ104" s="146" t="s">
        <v>361</v>
      </c>
      <c r="BR104" s="146" t="s">
        <v>361</v>
      </c>
      <c r="BS104" s="146" t="s">
        <v>361</v>
      </c>
      <c r="BT104" s="146" t="s">
        <v>361</v>
      </c>
      <c r="BU104" s="146" t="s">
        <v>361</v>
      </c>
      <c r="BV104" s="146" t="s">
        <v>360</v>
      </c>
      <c r="BW104" s="146" t="s">
        <v>361</v>
      </c>
      <c r="BX104" s="146" t="s">
        <v>361</v>
      </c>
      <c r="BY104" s="146" t="s">
        <v>360</v>
      </c>
      <c r="BZ104" s="149" t="s">
        <v>361</v>
      </c>
    </row>
    <row r="105" spans="1:78" s="2" customFormat="1" x14ac:dyDescent="0.25">
      <c r="A105" s="181" t="s">
        <v>332</v>
      </c>
      <c r="B105" s="146" t="s">
        <v>361</v>
      </c>
      <c r="C105" s="146" t="s">
        <v>361</v>
      </c>
      <c r="D105" s="146" t="s">
        <v>360</v>
      </c>
      <c r="E105" s="146" t="s">
        <v>361</v>
      </c>
      <c r="F105" s="146" t="s">
        <v>361</v>
      </c>
      <c r="G105" s="146" t="s">
        <v>361</v>
      </c>
      <c r="H105" s="146" t="s">
        <v>361</v>
      </c>
      <c r="I105" s="146" t="s">
        <v>361</v>
      </c>
      <c r="J105" s="149" t="s">
        <v>361</v>
      </c>
      <c r="K105" s="181" t="s">
        <v>332</v>
      </c>
      <c r="L105" s="146" t="str">
        <f>LOOKUP($K105,PantheonList!$A$18:$A$139,PantheonList!$B$18:$B$139)</f>
        <v>Athletics</v>
      </c>
      <c r="M105" s="146" t="str">
        <f>LOOKUP($K105,PantheonList!$A$18:$A$139,PantheonList!$C$18:$C$139)</f>
        <v>Control</v>
      </c>
      <c r="N105" s="146" t="str">
        <f>LOOKUP($K105,PantheonList!$A$18:$A$139,PantheonList!$D$18:$D$139)</f>
        <v>Craft</v>
      </c>
      <c r="O105" s="146" t="str">
        <f>LOOKUP($K105,PantheonList!$A$18:$A$139,PantheonList!$E$18:$E$139)</f>
        <v>Fortitude</v>
      </c>
      <c r="P105" s="146" t="str">
        <f>LOOKUP($K105,PantheonList!$A$18:$A$139,PantheonList!$F$18:$F$139)</f>
        <v>Integrity</v>
      </c>
      <c r="Q105" s="146" t="str">
        <f>LOOKUP($K105,PantheonList!$A$18:$A$139,PantheonList!$G$18:$G$139)</f>
        <v>Survival</v>
      </c>
      <c r="R105" s="146" t="str">
        <f t="shared" si="20"/>
        <v>No</v>
      </c>
      <c r="S105" s="146" t="str">
        <f t="shared" si="20"/>
        <v>No</v>
      </c>
      <c r="T105" s="146" t="str">
        <f t="shared" si="20"/>
        <v>No</v>
      </c>
      <c r="U105" s="146" t="str">
        <f t="shared" si="20"/>
        <v>Yes</v>
      </c>
      <c r="V105" s="146" t="str">
        <f t="shared" si="20"/>
        <v>No</v>
      </c>
      <c r="W105" s="146" t="str">
        <f t="shared" si="20"/>
        <v>No</v>
      </c>
      <c r="X105" s="146" t="str">
        <f t="shared" si="20"/>
        <v>No</v>
      </c>
      <c r="Y105" s="146" t="str">
        <f t="shared" si="20"/>
        <v>Yes</v>
      </c>
      <c r="Z105" s="146" t="str">
        <f t="shared" si="20"/>
        <v>Yes</v>
      </c>
      <c r="AA105" s="146" t="str">
        <f t="shared" si="20"/>
        <v>No</v>
      </c>
      <c r="AB105" s="146" t="str">
        <f t="shared" si="21"/>
        <v>Yes</v>
      </c>
      <c r="AC105" s="146" t="str">
        <f t="shared" si="21"/>
        <v>Yes</v>
      </c>
      <c r="AD105" s="146" t="str">
        <f t="shared" si="21"/>
        <v>No</v>
      </c>
      <c r="AE105" s="146" t="str">
        <f t="shared" si="21"/>
        <v>No</v>
      </c>
      <c r="AF105" s="146" t="str">
        <f t="shared" si="21"/>
        <v>No</v>
      </c>
      <c r="AG105" s="146" t="str">
        <f t="shared" si="21"/>
        <v>No</v>
      </c>
      <c r="AH105" s="146" t="str">
        <f t="shared" si="21"/>
        <v>No</v>
      </c>
      <c r="AI105" s="146" t="str">
        <f t="shared" si="21"/>
        <v>No</v>
      </c>
      <c r="AJ105" s="146" t="str">
        <f t="shared" si="21"/>
        <v>No</v>
      </c>
      <c r="AK105" s="146" t="str">
        <f t="shared" si="21"/>
        <v>No</v>
      </c>
      <c r="AL105" s="146" t="str">
        <f t="shared" si="21"/>
        <v>No</v>
      </c>
      <c r="AM105" s="146" t="str">
        <f t="shared" si="21"/>
        <v>No</v>
      </c>
      <c r="AN105" s="146" t="str">
        <f t="shared" si="21"/>
        <v>Yes</v>
      </c>
      <c r="AO105" s="149" t="str">
        <f t="shared" si="21"/>
        <v>No</v>
      </c>
      <c r="AP105" s="181" t="s">
        <v>332</v>
      </c>
      <c r="AQ105" s="146">
        <v>105</v>
      </c>
      <c r="AR105" s="146" t="s">
        <v>361</v>
      </c>
      <c r="AS105" s="146" t="s">
        <v>361</v>
      </c>
      <c r="AT105" s="146" t="s">
        <v>361</v>
      </c>
      <c r="AU105" s="146" t="s">
        <v>361</v>
      </c>
      <c r="AV105" s="146" t="s">
        <v>361</v>
      </c>
      <c r="AW105" s="146" t="s">
        <v>360</v>
      </c>
      <c r="AX105" s="146" t="s">
        <v>360</v>
      </c>
      <c r="AY105" s="146" t="s">
        <v>361</v>
      </c>
      <c r="AZ105" s="146" t="s">
        <v>361</v>
      </c>
      <c r="BA105" s="146" t="s">
        <v>361</v>
      </c>
      <c r="BB105" s="146" t="s">
        <v>361</v>
      </c>
      <c r="BC105" s="146" t="s">
        <v>361</v>
      </c>
      <c r="BD105" s="146" t="s">
        <v>361</v>
      </c>
      <c r="BE105" s="146" t="s">
        <v>360</v>
      </c>
      <c r="BF105" s="146" t="s">
        <v>361</v>
      </c>
      <c r="BG105" s="146" t="s">
        <v>361</v>
      </c>
      <c r="BH105" s="146" t="s">
        <v>361</v>
      </c>
      <c r="BI105" s="146" t="s">
        <v>361</v>
      </c>
      <c r="BJ105" s="146" t="s">
        <v>361</v>
      </c>
      <c r="BK105" s="146" t="s">
        <v>361</v>
      </c>
      <c r="BL105" s="146" t="s">
        <v>361</v>
      </c>
      <c r="BM105" s="146" t="s">
        <v>361</v>
      </c>
      <c r="BN105" s="146" t="s">
        <v>361</v>
      </c>
      <c r="BO105" s="146" t="s">
        <v>361</v>
      </c>
      <c r="BP105" s="146" t="s">
        <v>361</v>
      </c>
      <c r="BQ105" s="146" t="s">
        <v>360</v>
      </c>
      <c r="BR105" s="146" t="s">
        <v>361</v>
      </c>
      <c r="BS105" s="146" t="s">
        <v>361</v>
      </c>
      <c r="BT105" s="146" t="s">
        <v>361</v>
      </c>
      <c r="BU105" s="146" t="s">
        <v>361</v>
      </c>
      <c r="BV105" s="146" t="s">
        <v>361</v>
      </c>
      <c r="BW105" s="146" t="s">
        <v>361</v>
      </c>
      <c r="BX105" s="146" t="s">
        <v>361</v>
      </c>
      <c r="BY105" s="146" t="s">
        <v>361</v>
      </c>
      <c r="BZ105" s="149" t="s">
        <v>361</v>
      </c>
    </row>
    <row r="106" spans="1:78" s="2" customFormat="1" x14ac:dyDescent="0.25">
      <c r="A106" s="181" t="s">
        <v>215</v>
      </c>
      <c r="B106" s="146" t="s">
        <v>360</v>
      </c>
      <c r="C106" s="146" t="s">
        <v>361</v>
      </c>
      <c r="D106" s="146" t="s">
        <v>360</v>
      </c>
      <c r="E106" s="146" t="s">
        <v>360</v>
      </c>
      <c r="F106" s="146" t="s">
        <v>361</v>
      </c>
      <c r="G106" s="146" t="s">
        <v>361</v>
      </c>
      <c r="H106" s="146" t="s">
        <v>361</v>
      </c>
      <c r="I106" s="146" t="s">
        <v>361</v>
      </c>
      <c r="J106" s="149" t="s">
        <v>361</v>
      </c>
      <c r="K106" s="181" t="s">
        <v>215</v>
      </c>
      <c r="L106" s="146" t="str">
        <f>LOOKUP($K106,PantheonList!$A$18:$A$139,PantheonList!$B$18:$B$139)</f>
        <v>Athletics</v>
      </c>
      <c r="M106" s="146" t="str">
        <f>LOOKUP($K106,PantheonList!$A$18:$A$139,PantheonList!$C$18:$C$139)</f>
        <v>Brawl</v>
      </c>
      <c r="N106" s="146" t="str">
        <f>LOOKUP($K106,PantheonList!$A$18:$A$139,PantheonList!$D$18:$D$139)</f>
        <v>Control</v>
      </c>
      <c r="O106" s="146" t="str">
        <f>LOOKUP($K106,PantheonList!$A$18:$A$139,PantheonList!$E$18:$E$139)</f>
        <v>Melee</v>
      </c>
      <c r="P106" s="146" t="str">
        <f>LOOKUP($K106,PantheonList!$A$18:$A$139,PantheonList!$F$18:$F$139)</f>
        <v>Presence</v>
      </c>
      <c r="Q106" s="146" t="str">
        <f>LOOKUP($K106,PantheonList!$A$18:$A$139,PantheonList!$G$18:$G$139)</f>
        <v>Thrown</v>
      </c>
      <c r="R106" s="146" t="str">
        <f t="shared" si="20"/>
        <v>No</v>
      </c>
      <c r="S106" s="146" t="str">
        <f t="shared" si="20"/>
        <v>No</v>
      </c>
      <c r="T106" s="146" t="str">
        <f t="shared" si="20"/>
        <v>No</v>
      </c>
      <c r="U106" s="146" t="str">
        <f t="shared" si="20"/>
        <v>Yes</v>
      </c>
      <c r="V106" s="146" t="str">
        <f t="shared" si="20"/>
        <v>No</v>
      </c>
      <c r="W106" s="146" t="str">
        <f t="shared" si="20"/>
        <v>Yes</v>
      </c>
      <c r="X106" s="146" t="str">
        <f t="shared" si="20"/>
        <v>No</v>
      </c>
      <c r="Y106" s="146" t="str">
        <f t="shared" si="20"/>
        <v>Yes</v>
      </c>
      <c r="Z106" s="146" t="str">
        <f t="shared" si="20"/>
        <v>No</v>
      </c>
      <c r="AA106" s="146" t="str">
        <f t="shared" si="20"/>
        <v>No</v>
      </c>
      <c r="AB106" s="146" t="str">
        <f t="shared" si="21"/>
        <v>No</v>
      </c>
      <c r="AC106" s="146" t="str">
        <f t="shared" si="21"/>
        <v>No</v>
      </c>
      <c r="AD106" s="146" t="str">
        <f t="shared" si="21"/>
        <v>No</v>
      </c>
      <c r="AE106" s="146" t="str">
        <f t="shared" si="21"/>
        <v>No</v>
      </c>
      <c r="AF106" s="146" t="str">
        <f t="shared" si="21"/>
        <v>No</v>
      </c>
      <c r="AG106" s="146" t="str">
        <f t="shared" si="21"/>
        <v>No</v>
      </c>
      <c r="AH106" s="146" t="str">
        <f t="shared" si="21"/>
        <v>Yes</v>
      </c>
      <c r="AI106" s="146" t="str">
        <f t="shared" si="21"/>
        <v>No</v>
      </c>
      <c r="AJ106" s="146" t="str">
        <f t="shared" si="21"/>
        <v>No</v>
      </c>
      <c r="AK106" s="146" t="str">
        <f t="shared" si="21"/>
        <v>Yes</v>
      </c>
      <c r="AL106" s="146" t="str">
        <f t="shared" si="21"/>
        <v>No</v>
      </c>
      <c r="AM106" s="146" t="str">
        <f t="shared" si="21"/>
        <v>No</v>
      </c>
      <c r="AN106" s="146" t="str">
        <f t="shared" si="21"/>
        <v>No</v>
      </c>
      <c r="AO106" s="149" t="str">
        <f t="shared" si="21"/>
        <v>Yes</v>
      </c>
      <c r="AP106" s="181" t="s">
        <v>215</v>
      </c>
      <c r="AQ106" s="146">
        <v>106</v>
      </c>
      <c r="AR106" s="146" t="s">
        <v>361</v>
      </c>
      <c r="AS106" s="146" t="s">
        <v>361</v>
      </c>
      <c r="AT106" s="146" t="s">
        <v>361</v>
      </c>
      <c r="AU106" s="146" t="s">
        <v>361</v>
      </c>
      <c r="AV106" s="146" t="s">
        <v>361</v>
      </c>
      <c r="AW106" s="146" t="s">
        <v>361</v>
      </c>
      <c r="AX106" s="146" t="s">
        <v>361</v>
      </c>
      <c r="AY106" s="146" t="s">
        <v>361</v>
      </c>
      <c r="AZ106" s="146" t="s">
        <v>361</v>
      </c>
      <c r="BA106" s="146" t="s">
        <v>361</v>
      </c>
      <c r="BB106" s="146" t="s">
        <v>361</v>
      </c>
      <c r="BC106" s="146" t="s">
        <v>361</v>
      </c>
      <c r="BD106" s="146" t="s">
        <v>361</v>
      </c>
      <c r="BE106" s="146" t="s">
        <v>360</v>
      </c>
      <c r="BF106" s="146" t="s">
        <v>361</v>
      </c>
      <c r="BG106" s="146" t="s">
        <v>361</v>
      </c>
      <c r="BH106" s="146" t="s">
        <v>361</v>
      </c>
      <c r="BI106" s="146" t="s">
        <v>361</v>
      </c>
      <c r="BJ106" s="146" t="s">
        <v>361</v>
      </c>
      <c r="BK106" s="146" t="s">
        <v>360</v>
      </c>
      <c r="BL106" s="146" t="s">
        <v>361</v>
      </c>
      <c r="BM106" s="146" t="s">
        <v>361</v>
      </c>
      <c r="BN106" s="146" t="s">
        <v>361</v>
      </c>
      <c r="BO106" s="146" t="s">
        <v>361</v>
      </c>
      <c r="BP106" s="146" t="s">
        <v>361</v>
      </c>
      <c r="BQ106" s="146" t="s">
        <v>361</v>
      </c>
      <c r="BR106" s="146" t="s">
        <v>361</v>
      </c>
      <c r="BS106" s="146" t="s">
        <v>361</v>
      </c>
      <c r="BT106" s="146" t="s">
        <v>360</v>
      </c>
      <c r="BU106" s="146" t="s">
        <v>361</v>
      </c>
      <c r="BV106" s="146" t="s">
        <v>361</v>
      </c>
      <c r="BW106" s="146" t="s">
        <v>361</v>
      </c>
      <c r="BX106" s="146" t="s">
        <v>361</v>
      </c>
      <c r="BY106" s="146" t="s">
        <v>361</v>
      </c>
      <c r="BZ106" s="149" t="s">
        <v>361</v>
      </c>
    </row>
    <row r="107" spans="1:78" s="2" customFormat="1" x14ac:dyDescent="0.25">
      <c r="A107" s="181" t="s">
        <v>293</v>
      </c>
      <c r="B107" s="146" t="s">
        <v>361</v>
      </c>
      <c r="C107" s="146" t="s">
        <v>361</v>
      </c>
      <c r="D107" s="146" t="s">
        <v>361</v>
      </c>
      <c r="E107" s="146" t="s">
        <v>361</v>
      </c>
      <c r="F107" s="146" t="s">
        <v>361</v>
      </c>
      <c r="G107" s="146" t="s">
        <v>361</v>
      </c>
      <c r="H107" s="146" t="s">
        <v>361</v>
      </c>
      <c r="I107" s="146" t="s">
        <v>360</v>
      </c>
      <c r="J107" s="149" t="s">
        <v>361</v>
      </c>
      <c r="K107" s="181" t="s">
        <v>293</v>
      </c>
      <c r="L107" s="146" t="str">
        <f>LOOKUP($K107,PantheonList!$A$18:$A$139,PantheonList!$B$18:$B$139)</f>
        <v>Academics</v>
      </c>
      <c r="M107" s="146" t="str">
        <f>LOOKUP($K107,PantheonList!$A$18:$A$139,PantheonList!$C$18:$C$139)</f>
        <v>Investigation</v>
      </c>
      <c r="N107" s="146" t="str">
        <f>LOOKUP($K107,PantheonList!$A$18:$A$139,PantheonList!$D$18:$D$139)</f>
        <v>Integrity</v>
      </c>
      <c r="O107" s="146" t="str">
        <f>LOOKUP($K107,PantheonList!$A$18:$A$139,PantheonList!$E$18:$E$139)</f>
        <v>Occult</v>
      </c>
      <c r="P107" s="146" t="str">
        <f>LOOKUP($K107,PantheonList!$A$18:$A$139,PantheonList!$F$18:$F$139)</f>
        <v>Politics</v>
      </c>
      <c r="Q107" s="146" t="str">
        <f>LOOKUP($K107,PantheonList!$A$18:$A$139,PantheonList!$G$18:$G$139)</f>
        <v>Science</v>
      </c>
      <c r="R107" s="146" t="str">
        <f t="shared" si="20"/>
        <v>Yes</v>
      </c>
      <c r="S107" s="146" t="str">
        <f t="shared" si="20"/>
        <v>No</v>
      </c>
      <c r="T107" s="146" t="str">
        <f t="shared" si="20"/>
        <v>No</v>
      </c>
      <c r="U107" s="146" t="str">
        <f t="shared" si="20"/>
        <v>No</v>
      </c>
      <c r="V107" s="146" t="str">
        <f t="shared" si="20"/>
        <v>No</v>
      </c>
      <c r="W107" s="146" t="str">
        <f t="shared" si="20"/>
        <v>No</v>
      </c>
      <c r="X107" s="146" t="str">
        <f t="shared" si="20"/>
        <v>No</v>
      </c>
      <c r="Y107" s="146" t="str">
        <f t="shared" si="20"/>
        <v>No</v>
      </c>
      <c r="Z107" s="146" t="str">
        <f t="shared" si="20"/>
        <v>No</v>
      </c>
      <c r="AA107" s="146" t="str">
        <f t="shared" si="20"/>
        <v>No</v>
      </c>
      <c r="AB107" s="146" t="str">
        <f t="shared" si="21"/>
        <v>No</v>
      </c>
      <c r="AC107" s="146" t="str">
        <f t="shared" si="21"/>
        <v>Yes</v>
      </c>
      <c r="AD107" s="146" t="str">
        <f t="shared" si="21"/>
        <v>Yes</v>
      </c>
      <c r="AE107" s="146" t="str">
        <f t="shared" si="21"/>
        <v>No</v>
      </c>
      <c r="AF107" s="146" t="str">
        <f t="shared" si="21"/>
        <v>No</v>
      </c>
      <c r="AG107" s="146" t="str">
        <f t="shared" si="21"/>
        <v>No</v>
      </c>
      <c r="AH107" s="146" t="str">
        <f t="shared" si="21"/>
        <v>No</v>
      </c>
      <c r="AI107" s="146" t="str">
        <f t="shared" si="21"/>
        <v>Yes</v>
      </c>
      <c r="AJ107" s="146" t="str">
        <f t="shared" si="21"/>
        <v>Yes</v>
      </c>
      <c r="AK107" s="146" t="str">
        <f t="shared" si="21"/>
        <v>No</v>
      </c>
      <c r="AL107" s="146" t="str">
        <f t="shared" si="21"/>
        <v>Yes</v>
      </c>
      <c r="AM107" s="146" t="str">
        <f t="shared" si="21"/>
        <v>No</v>
      </c>
      <c r="AN107" s="146" t="str">
        <f t="shared" si="21"/>
        <v>No</v>
      </c>
      <c r="AO107" s="149" t="str">
        <f t="shared" si="21"/>
        <v>No</v>
      </c>
      <c r="AP107" s="181" t="s">
        <v>293</v>
      </c>
      <c r="AQ107" s="146">
        <v>107</v>
      </c>
      <c r="AR107" s="146" t="s">
        <v>360</v>
      </c>
      <c r="AS107" s="146" t="s">
        <v>361</v>
      </c>
      <c r="AT107" s="146" t="s">
        <v>361</v>
      </c>
      <c r="AU107" s="146" t="s">
        <v>361</v>
      </c>
      <c r="AV107" s="146" t="s">
        <v>361</v>
      </c>
      <c r="AW107" s="146" t="s">
        <v>361</v>
      </c>
      <c r="AX107" s="146" t="s">
        <v>361</v>
      </c>
      <c r="AY107" s="146" t="s">
        <v>361</v>
      </c>
      <c r="AZ107" s="146" t="s">
        <v>361</v>
      </c>
      <c r="BA107" s="146" t="s">
        <v>361</v>
      </c>
      <c r="BB107" s="146" t="s">
        <v>361</v>
      </c>
      <c r="BC107" s="146" t="s">
        <v>361</v>
      </c>
      <c r="BD107" s="146" t="s">
        <v>361</v>
      </c>
      <c r="BE107" s="146" t="s">
        <v>361</v>
      </c>
      <c r="BF107" s="146" t="s">
        <v>361</v>
      </c>
      <c r="BG107" s="146" t="s">
        <v>360</v>
      </c>
      <c r="BH107" s="146" t="s">
        <v>361</v>
      </c>
      <c r="BI107" s="146" t="s">
        <v>361</v>
      </c>
      <c r="BJ107" s="146" t="s">
        <v>361</v>
      </c>
      <c r="BK107" s="146" t="s">
        <v>361</v>
      </c>
      <c r="BL107" s="146" t="s">
        <v>360</v>
      </c>
      <c r="BM107" s="146" t="s">
        <v>360</v>
      </c>
      <c r="BN107" s="146" t="s">
        <v>360</v>
      </c>
      <c r="BO107" s="146" t="s">
        <v>361</v>
      </c>
      <c r="BP107" s="146" t="s">
        <v>361</v>
      </c>
      <c r="BQ107" s="146" t="s">
        <v>361</v>
      </c>
      <c r="BR107" s="146" t="s">
        <v>361</v>
      </c>
      <c r="BS107" s="146" t="s">
        <v>361</v>
      </c>
      <c r="BT107" s="146" t="s">
        <v>361</v>
      </c>
      <c r="BU107" s="146" t="s">
        <v>361</v>
      </c>
      <c r="BV107" s="146" t="s">
        <v>361</v>
      </c>
      <c r="BW107" s="146" t="s">
        <v>361</v>
      </c>
      <c r="BX107" s="146" t="s">
        <v>361</v>
      </c>
      <c r="BY107" s="146" t="s">
        <v>361</v>
      </c>
      <c r="BZ107" s="149" t="s">
        <v>361</v>
      </c>
    </row>
    <row r="108" spans="1:78" s="2" customFormat="1" x14ac:dyDescent="0.25">
      <c r="A108" s="181" t="s">
        <v>310</v>
      </c>
      <c r="B108" s="146" t="s">
        <v>361</v>
      </c>
      <c r="C108" s="146" t="s">
        <v>361</v>
      </c>
      <c r="D108" s="146" t="s">
        <v>360</v>
      </c>
      <c r="E108" s="146" t="s">
        <v>361</v>
      </c>
      <c r="F108" s="146" t="s">
        <v>361</v>
      </c>
      <c r="G108" s="146" t="s">
        <v>361</v>
      </c>
      <c r="H108" s="146" t="s">
        <v>361</v>
      </c>
      <c r="I108" s="146" t="s">
        <v>361</v>
      </c>
      <c r="J108" s="149" t="s">
        <v>361</v>
      </c>
      <c r="K108" s="181" t="s">
        <v>310</v>
      </c>
      <c r="L108" s="146" t="str">
        <f>LOOKUP($K108,PantheonList!$A$18:$A$139,PantheonList!$B$18:$B$139)</f>
        <v>Art</v>
      </c>
      <c r="M108" s="146" t="str">
        <f>LOOKUP($K108,PantheonList!$A$18:$A$139,PantheonList!$C$18:$C$139)</f>
        <v>Empathy</v>
      </c>
      <c r="N108" s="146" t="str">
        <f>LOOKUP($K108,PantheonList!$A$18:$A$139,PantheonList!$D$18:$D$139)</f>
        <v>Fortitude</v>
      </c>
      <c r="O108" s="146" t="str">
        <f>LOOKUP($K108,PantheonList!$A$18:$A$139,PantheonList!$E$18:$E$139)</f>
        <v>Integrity</v>
      </c>
      <c r="P108" s="146" t="str">
        <f>LOOKUP($K108,PantheonList!$A$18:$A$139,PantheonList!$F$18:$F$139)</f>
        <v>Marksmanship</v>
      </c>
      <c r="Q108" s="146" t="str">
        <f>LOOKUP($K108,PantheonList!$A$18:$A$139,PantheonList!$G$18:$G$139)</f>
        <v>Thrown</v>
      </c>
      <c r="R108" s="146" t="str">
        <f t="shared" si="20"/>
        <v>No</v>
      </c>
      <c r="S108" s="146" t="str">
        <f t="shared" si="20"/>
        <v>No</v>
      </c>
      <c r="T108" s="146" t="str">
        <f t="shared" si="20"/>
        <v>Yes</v>
      </c>
      <c r="U108" s="146" t="str">
        <f t="shared" si="20"/>
        <v>No</v>
      </c>
      <c r="V108" s="146" t="str">
        <f t="shared" si="20"/>
        <v>No</v>
      </c>
      <c r="W108" s="146" t="str">
        <f t="shared" si="20"/>
        <v>No</v>
      </c>
      <c r="X108" s="146" t="str">
        <f t="shared" si="20"/>
        <v>No</v>
      </c>
      <c r="Y108" s="146" t="str">
        <f t="shared" si="20"/>
        <v>No</v>
      </c>
      <c r="Z108" s="146" t="str">
        <f t="shared" si="20"/>
        <v>No</v>
      </c>
      <c r="AA108" s="146" t="str">
        <f t="shared" si="20"/>
        <v>Yes</v>
      </c>
      <c r="AB108" s="146" t="str">
        <f t="shared" si="21"/>
        <v>Yes</v>
      </c>
      <c r="AC108" s="146" t="str">
        <f t="shared" si="21"/>
        <v>Yes</v>
      </c>
      <c r="AD108" s="146" t="str">
        <f t="shared" si="21"/>
        <v>No</v>
      </c>
      <c r="AE108" s="146" t="str">
        <f t="shared" si="21"/>
        <v>No</v>
      </c>
      <c r="AF108" s="146" t="str">
        <f t="shared" si="21"/>
        <v>Yes</v>
      </c>
      <c r="AG108" s="146" t="str">
        <f t="shared" si="21"/>
        <v>No</v>
      </c>
      <c r="AH108" s="146" t="str">
        <f t="shared" si="21"/>
        <v>No</v>
      </c>
      <c r="AI108" s="146" t="str">
        <f t="shared" si="21"/>
        <v>No</v>
      </c>
      <c r="AJ108" s="146" t="str">
        <f t="shared" si="21"/>
        <v>No</v>
      </c>
      <c r="AK108" s="146" t="str">
        <f t="shared" si="21"/>
        <v>No</v>
      </c>
      <c r="AL108" s="146" t="str">
        <f t="shared" si="21"/>
        <v>No</v>
      </c>
      <c r="AM108" s="146" t="str">
        <f t="shared" si="21"/>
        <v>No</v>
      </c>
      <c r="AN108" s="146" t="str">
        <f t="shared" si="21"/>
        <v>No</v>
      </c>
      <c r="AO108" s="149" t="str">
        <f t="shared" si="21"/>
        <v>Yes</v>
      </c>
      <c r="AP108" s="181" t="s">
        <v>310</v>
      </c>
      <c r="AQ108" s="146">
        <v>108</v>
      </c>
      <c r="AR108" s="146" t="s">
        <v>360</v>
      </c>
      <c r="AS108" s="146" t="s">
        <v>361</v>
      </c>
      <c r="AT108" s="146" t="s">
        <v>360</v>
      </c>
      <c r="AU108" s="146" t="s">
        <v>361</v>
      </c>
      <c r="AV108" s="146" t="s">
        <v>361</v>
      </c>
      <c r="AW108" s="146" t="s">
        <v>361</v>
      </c>
      <c r="AX108" s="146" t="s">
        <v>361</v>
      </c>
      <c r="AY108" s="146" t="s">
        <v>361</v>
      </c>
      <c r="AZ108" s="146" t="s">
        <v>361</v>
      </c>
      <c r="BA108" s="146" t="s">
        <v>361</v>
      </c>
      <c r="BB108" s="146" t="s">
        <v>360</v>
      </c>
      <c r="BC108" s="146" t="s">
        <v>361</v>
      </c>
      <c r="BD108" s="146" t="s">
        <v>361</v>
      </c>
      <c r="BE108" s="146" t="s">
        <v>360</v>
      </c>
      <c r="BF108" s="146" t="s">
        <v>361</v>
      </c>
      <c r="BG108" s="146" t="s">
        <v>361</v>
      </c>
      <c r="BH108" s="146" t="s">
        <v>361</v>
      </c>
      <c r="BI108" s="146" t="s">
        <v>361</v>
      </c>
      <c r="BJ108" s="146" t="s">
        <v>361</v>
      </c>
      <c r="BK108" s="146" t="s">
        <v>361</v>
      </c>
      <c r="BL108" s="146" t="s">
        <v>361</v>
      </c>
      <c r="BM108" s="146" t="s">
        <v>361</v>
      </c>
      <c r="BN108" s="146" t="s">
        <v>361</v>
      </c>
      <c r="BO108" s="146" t="s">
        <v>361</v>
      </c>
      <c r="BP108" s="146" t="s">
        <v>361</v>
      </c>
      <c r="BQ108" s="146" t="s">
        <v>361</v>
      </c>
      <c r="BR108" s="146" t="s">
        <v>361</v>
      </c>
      <c r="BS108" s="146" t="s">
        <v>361</v>
      </c>
      <c r="BT108" s="146" t="s">
        <v>361</v>
      </c>
      <c r="BU108" s="146" t="s">
        <v>360</v>
      </c>
      <c r="BV108" s="146" t="s">
        <v>361</v>
      </c>
      <c r="BW108" s="146" t="s">
        <v>361</v>
      </c>
      <c r="BX108" s="146" t="s">
        <v>361</v>
      </c>
      <c r="BY108" s="146" t="s">
        <v>361</v>
      </c>
      <c r="BZ108" s="149" t="s">
        <v>360</v>
      </c>
    </row>
    <row r="109" spans="1:78" s="2" customFormat="1" x14ac:dyDescent="0.25">
      <c r="A109" s="181" t="s">
        <v>232</v>
      </c>
      <c r="B109" s="146" t="s">
        <v>361</v>
      </c>
      <c r="C109" s="146" t="s">
        <v>361</v>
      </c>
      <c r="D109" s="146" t="s">
        <v>361</v>
      </c>
      <c r="E109" s="146" t="s">
        <v>361</v>
      </c>
      <c r="F109" s="146" t="s">
        <v>361</v>
      </c>
      <c r="G109" s="146" t="s">
        <v>360</v>
      </c>
      <c r="H109" s="146" t="s">
        <v>361</v>
      </c>
      <c r="I109" s="146" t="s">
        <v>361</v>
      </c>
      <c r="J109" s="149" t="s">
        <v>361</v>
      </c>
      <c r="K109" s="181" t="s">
        <v>232</v>
      </c>
      <c r="L109" s="146" t="str">
        <f>LOOKUP($K109,PantheonList!$A$18:$A$139,PantheonList!$B$18:$B$139)</f>
        <v>Academics</v>
      </c>
      <c r="M109" s="146" t="str">
        <f>LOOKUP($K109,PantheonList!$A$18:$A$139,PantheonList!$C$18:$C$139)</f>
        <v>Brawl</v>
      </c>
      <c r="N109" s="146" t="str">
        <f>LOOKUP($K109,PantheonList!$A$18:$A$139,PantheonList!$D$18:$D$139)</f>
        <v>Command</v>
      </c>
      <c r="O109" s="146" t="str">
        <f>LOOKUP($K109,PantheonList!$A$18:$A$139,PantheonList!$E$18:$E$139)</f>
        <v>Medicine</v>
      </c>
      <c r="P109" s="146" t="str">
        <f>LOOKUP($K109,PantheonList!$A$18:$A$139,PantheonList!$F$18:$F$139)</f>
        <v>Stealth</v>
      </c>
      <c r="Q109" s="146" t="str">
        <f>LOOKUP($K109,PantheonList!$A$18:$A$139,PantheonList!$G$18:$G$139)</f>
        <v>Survival</v>
      </c>
      <c r="R109" s="146" t="str">
        <f t="shared" si="20"/>
        <v>Yes</v>
      </c>
      <c r="S109" s="146" t="str">
        <f t="shared" si="20"/>
        <v>No</v>
      </c>
      <c r="T109" s="146" t="str">
        <f t="shared" si="20"/>
        <v>No</v>
      </c>
      <c r="U109" s="146" t="str">
        <f t="shared" si="20"/>
        <v>No</v>
      </c>
      <c r="V109" s="146" t="str">
        <f t="shared" si="20"/>
        <v>No</v>
      </c>
      <c r="W109" s="146" t="str">
        <f t="shared" si="20"/>
        <v>Yes</v>
      </c>
      <c r="X109" s="146" t="str">
        <f t="shared" si="20"/>
        <v>Yes</v>
      </c>
      <c r="Y109" s="146" t="str">
        <f t="shared" si="20"/>
        <v>No</v>
      </c>
      <c r="Z109" s="146" t="str">
        <f t="shared" si="20"/>
        <v>No</v>
      </c>
      <c r="AA109" s="146" t="str">
        <f t="shared" si="20"/>
        <v>No</v>
      </c>
      <c r="AB109" s="146" t="str">
        <f t="shared" si="21"/>
        <v>No</v>
      </c>
      <c r="AC109" s="146" t="str">
        <f t="shared" si="21"/>
        <v>No</v>
      </c>
      <c r="AD109" s="146" t="str">
        <f t="shared" si="21"/>
        <v>No</v>
      </c>
      <c r="AE109" s="146" t="str">
        <f t="shared" si="21"/>
        <v>No</v>
      </c>
      <c r="AF109" s="146" t="str">
        <f t="shared" si="21"/>
        <v>No</v>
      </c>
      <c r="AG109" s="146" t="str">
        <f t="shared" si="21"/>
        <v>Yes</v>
      </c>
      <c r="AH109" s="146" t="str">
        <f t="shared" si="21"/>
        <v>No</v>
      </c>
      <c r="AI109" s="146" t="str">
        <f t="shared" si="21"/>
        <v>No</v>
      </c>
      <c r="AJ109" s="146" t="str">
        <f t="shared" si="21"/>
        <v>No</v>
      </c>
      <c r="AK109" s="146" t="str">
        <f t="shared" si="21"/>
        <v>No</v>
      </c>
      <c r="AL109" s="146" t="str">
        <f t="shared" si="21"/>
        <v>No</v>
      </c>
      <c r="AM109" s="146" t="str">
        <f t="shared" si="21"/>
        <v>Yes</v>
      </c>
      <c r="AN109" s="146" t="str">
        <f t="shared" si="21"/>
        <v>Yes</v>
      </c>
      <c r="AO109" s="149" t="str">
        <f t="shared" si="21"/>
        <v>No</v>
      </c>
      <c r="AP109" s="181" t="s">
        <v>232</v>
      </c>
      <c r="AQ109" s="146">
        <v>109</v>
      </c>
      <c r="AR109" s="146" t="s">
        <v>361</v>
      </c>
      <c r="AS109" s="146" t="s">
        <v>361</v>
      </c>
      <c r="AT109" s="146" t="s">
        <v>361</v>
      </c>
      <c r="AU109" s="146" t="s">
        <v>361</v>
      </c>
      <c r="AV109" s="146" t="s">
        <v>361</v>
      </c>
      <c r="AW109" s="146" t="s">
        <v>361</v>
      </c>
      <c r="AX109" s="146" t="s">
        <v>361</v>
      </c>
      <c r="AY109" s="146" t="s">
        <v>361</v>
      </c>
      <c r="AZ109" s="146" t="s">
        <v>360</v>
      </c>
      <c r="BA109" s="146" t="s">
        <v>361</v>
      </c>
      <c r="BB109" s="146" t="s">
        <v>360</v>
      </c>
      <c r="BC109" s="146" t="s">
        <v>361</v>
      </c>
      <c r="BD109" s="146" t="s">
        <v>361</v>
      </c>
      <c r="BE109" s="146" t="s">
        <v>361</v>
      </c>
      <c r="BF109" s="146" t="s">
        <v>360</v>
      </c>
      <c r="BG109" s="146" t="s">
        <v>361</v>
      </c>
      <c r="BH109" s="146" t="s">
        <v>361</v>
      </c>
      <c r="BI109" s="146" t="s">
        <v>361</v>
      </c>
      <c r="BJ109" s="146" t="s">
        <v>360</v>
      </c>
      <c r="BK109" s="146" t="s">
        <v>361</v>
      </c>
      <c r="BL109" s="146" t="s">
        <v>361</v>
      </c>
      <c r="BM109" s="146" t="s">
        <v>361</v>
      </c>
      <c r="BN109" s="146" t="s">
        <v>361</v>
      </c>
      <c r="BO109" s="146" t="s">
        <v>361</v>
      </c>
      <c r="BP109" s="146" t="s">
        <v>361</v>
      </c>
      <c r="BQ109" s="146" t="s">
        <v>361</v>
      </c>
      <c r="BR109" s="146" t="s">
        <v>361</v>
      </c>
      <c r="BS109" s="146" t="s">
        <v>361</v>
      </c>
      <c r="BT109" s="146" t="s">
        <v>360</v>
      </c>
      <c r="BU109" s="146" t="s">
        <v>361</v>
      </c>
      <c r="BV109" s="146" t="s">
        <v>361</v>
      </c>
      <c r="BW109" s="146" t="s">
        <v>361</v>
      </c>
      <c r="BX109" s="146" t="s">
        <v>361</v>
      </c>
      <c r="BY109" s="146" t="s">
        <v>361</v>
      </c>
      <c r="BZ109" s="149" t="s">
        <v>361</v>
      </c>
    </row>
    <row r="110" spans="1:78" s="2" customFormat="1" x14ac:dyDescent="0.25">
      <c r="A110" s="181" t="s">
        <v>233</v>
      </c>
      <c r="B110" s="146" t="s">
        <v>361</v>
      </c>
      <c r="C110" s="146" t="s">
        <v>361</v>
      </c>
      <c r="D110" s="146" t="s">
        <v>361</v>
      </c>
      <c r="E110" s="146" t="s">
        <v>360</v>
      </c>
      <c r="F110" s="146" t="s">
        <v>360</v>
      </c>
      <c r="G110" s="146" t="s">
        <v>360</v>
      </c>
      <c r="H110" s="146" t="s">
        <v>361</v>
      </c>
      <c r="I110" s="146" t="s">
        <v>361</v>
      </c>
      <c r="J110" s="149" t="s">
        <v>361</v>
      </c>
      <c r="K110" s="181" t="s">
        <v>233</v>
      </c>
      <c r="L110" s="146" t="str">
        <f>LOOKUP($K110,PantheonList!$A$18:$A$139,PantheonList!$B$18:$B$139)</f>
        <v>Art</v>
      </c>
      <c r="M110" s="146" t="str">
        <f>LOOKUP($K110,PantheonList!$A$18:$A$139,PantheonList!$C$18:$C$139)</f>
        <v>Craft</v>
      </c>
      <c r="N110" s="146" t="str">
        <f>LOOKUP($K110,PantheonList!$A$18:$A$139,PantheonList!$D$18:$D$139)</f>
        <v>Empathy</v>
      </c>
      <c r="O110" s="146" t="str">
        <f>LOOKUP($K110,PantheonList!$A$18:$A$139,PantheonList!$E$18:$E$139)</f>
        <v>Investigation</v>
      </c>
      <c r="P110" s="146" t="str">
        <f>LOOKUP($K110,PantheonList!$A$18:$A$139,PantheonList!$F$18:$F$139)</f>
        <v>Medicine</v>
      </c>
      <c r="Q110" s="146" t="str">
        <f>LOOKUP($K110,PantheonList!$A$18:$A$139,PantheonList!$G$18:$G$139)</f>
        <v>Politics</v>
      </c>
      <c r="R110" s="146" t="str">
        <f t="shared" si="20"/>
        <v>No</v>
      </c>
      <c r="S110" s="146" t="str">
        <f t="shared" si="20"/>
        <v>No</v>
      </c>
      <c r="T110" s="146" t="str">
        <f t="shared" si="20"/>
        <v>Yes</v>
      </c>
      <c r="U110" s="146" t="str">
        <f t="shared" si="20"/>
        <v>No</v>
      </c>
      <c r="V110" s="146" t="str">
        <f t="shared" si="20"/>
        <v>No</v>
      </c>
      <c r="W110" s="146" t="str">
        <f t="shared" si="20"/>
        <v>No</v>
      </c>
      <c r="X110" s="146" t="str">
        <f t="shared" si="20"/>
        <v>No</v>
      </c>
      <c r="Y110" s="146" t="str">
        <f t="shared" si="20"/>
        <v>No</v>
      </c>
      <c r="Z110" s="146" t="str">
        <f t="shared" si="20"/>
        <v>Yes</v>
      </c>
      <c r="AA110" s="146" t="str">
        <f t="shared" si="20"/>
        <v>Yes</v>
      </c>
      <c r="AB110" s="146" t="str">
        <f t="shared" si="21"/>
        <v>No</v>
      </c>
      <c r="AC110" s="146" t="str">
        <f t="shared" si="21"/>
        <v>No</v>
      </c>
      <c r="AD110" s="146" t="str">
        <f t="shared" si="21"/>
        <v>Yes</v>
      </c>
      <c r="AE110" s="146" t="str">
        <f t="shared" si="21"/>
        <v>No</v>
      </c>
      <c r="AF110" s="146" t="str">
        <f t="shared" si="21"/>
        <v>No</v>
      </c>
      <c r="AG110" s="146" t="str">
        <f t="shared" si="21"/>
        <v>Yes</v>
      </c>
      <c r="AH110" s="146" t="str">
        <f t="shared" si="21"/>
        <v>No</v>
      </c>
      <c r="AI110" s="146" t="str">
        <f t="shared" si="21"/>
        <v>No</v>
      </c>
      <c r="AJ110" s="146" t="str">
        <f t="shared" si="21"/>
        <v>Yes</v>
      </c>
      <c r="AK110" s="146" t="str">
        <f t="shared" si="21"/>
        <v>No</v>
      </c>
      <c r="AL110" s="146" t="str">
        <f t="shared" si="21"/>
        <v>No</v>
      </c>
      <c r="AM110" s="146" t="str">
        <f t="shared" si="21"/>
        <v>No</v>
      </c>
      <c r="AN110" s="146" t="str">
        <f t="shared" si="21"/>
        <v>No</v>
      </c>
      <c r="AO110" s="149" t="str">
        <f t="shared" si="21"/>
        <v>No</v>
      </c>
      <c r="AP110" s="181" t="s">
        <v>233</v>
      </c>
      <c r="AQ110" s="146">
        <v>110</v>
      </c>
      <c r="AR110" s="146" t="s">
        <v>361</v>
      </c>
      <c r="AS110" s="146" t="s">
        <v>361</v>
      </c>
      <c r="AT110" s="146" t="s">
        <v>361</v>
      </c>
      <c r="AU110" s="146" t="s">
        <v>361</v>
      </c>
      <c r="AV110" s="146" t="s">
        <v>361</v>
      </c>
      <c r="AW110" s="146" t="s">
        <v>361</v>
      </c>
      <c r="AX110" s="146" t="s">
        <v>361</v>
      </c>
      <c r="AY110" s="146" t="s">
        <v>361</v>
      </c>
      <c r="AZ110" s="146" t="s">
        <v>360</v>
      </c>
      <c r="BA110" s="146" t="s">
        <v>361</v>
      </c>
      <c r="BB110" s="146" t="s">
        <v>361</v>
      </c>
      <c r="BC110" s="146" t="s">
        <v>361</v>
      </c>
      <c r="BD110" s="146" t="s">
        <v>361</v>
      </c>
      <c r="BE110" s="146" t="s">
        <v>361</v>
      </c>
      <c r="BF110" s="146" t="s">
        <v>361</v>
      </c>
      <c r="BG110" s="146" t="s">
        <v>361</v>
      </c>
      <c r="BH110" s="146" t="s">
        <v>361</v>
      </c>
      <c r="BI110" s="146" t="s">
        <v>361</v>
      </c>
      <c r="BJ110" s="146" t="s">
        <v>360</v>
      </c>
      <c r="BK110" s="146" t="s">
        <v>361</v>
      </c>
      <c r="BL110" s="146" t="s">
        <v>361</v>
      </c>
      <c r="BM110" s="146" t="s">
        <v>361</v>
      </c>
      <c r="BN110" s="146" t="s">
        <v>361</v>
      </c>
      <c r="BO110" s="146" t="s">
        <v>361</v>
      </c>
      <c r="BP110" s="146" t="s">
        <v>361</v>
      </c>
      <c r="BQ110" s="146" t="s">
        <v>361</v>
      </c>
      <c r="BR110" s="146" t="s">
        <v>361</v>
      </c>
      <c r="BS110" s="146" t="s">
        <v>361</v>
      </c>
      <c r="BT110" s="146" t="s">
        <v>361</v>
      </c>
      <c r="BU110" s="146" t="s">
        <v>361</v>
      </c>
      <c r="BV110" s="146" t="s">
        <v>361</v>
      </c>
      <c r="BW110" s="146" t="s">
        <v>361</v>
      </c>
      <c r="BX110" s="146" t="s">
        <v>361</v>
      </c>
      <c r="BY110" s="146" t="s">
        <v>361</v>
      </c>
      <c r="BZ110" s="149" t="s">
        <v>361</v>
      </c>
    </row>
    <row r="111" spans="1:78" s="2" customFormat="1" x14ac:dyDescent="0.25">
      <c r="A111" s="181" t="s">
        <v>226</v>
      </c>
      <c r="B111" s="146" t="s">
        <v>361</v>
      </c>
      <c r="C111" s="146" t="s">
        <v>361</v>
      </c>
      <c r="D111" s="146" t="s">
        <v>361</v>
      </c>
      <c r="E111" s="146" t="s">
        <v>360</v>
      </c>
      <c r="F111" s="146" t="s">
        <v>361</v>
      </c>
      <c r="G111" s="146" t="s">
        <v>361</v>
      </c>
      <c r="H111" s="146" t="s">
        <v>361</v>
      </c>
      <c r="I111" s="146" t="s">
        <v>361</v>
      </c>
      <c r="J111" s="149" t="s">
        <v>361</v>
      </c>
      <c r="K111" s="181" t="s">
        <v>226</v>
      </c>
      <c r="L111" s="146" t="str">
        <f>LOOKUP($K111,PantheonList!$A$18:$A$139,PantheonList!$B$18:$B$139)</f>
        <v>Academics</v>
      </c>
      <c r="M111" s="146" t="str">
        <f>LOOKUP($K111,PantheonList!$A$18:$A$139,PantheonList!$C$18:$C$139)</f>
        <v>Awareness</v>
      </c>
      <c r="N111" s="146" t="str">
        <f>LOOKUP($K111,PantheonList!$A$18:$A$139,PantheonList!$D$18:$D$139)</f>
        <v>Empathy</v>
      </c>
      <c r="O111" s="146" t="str">
        <f>LOOKUP($K111,PantheonList!$A$18:$A$139,PantheonList!$E$18:$E$139)</f>
        <v>Investigation</v>
      </c>
      <c r="P111" s="146" t="str">
        <f>LOOKUP($K111,PantheonList!$A$18:$A$139,PantheonList!$F$18:$F$139)</f>
        <v>Marksmanship</v>
      </c>
      <c r="Q111" s="146" t="str">
        <f>LOOKUP($K111,PantheonList!$A$18:$A$139,PantheonList!$G$18:$G$139)</f>
        <v>Politics</v>
      </c>
      <c r="R111" s="146" t="str">
        <f t="shared" si="20"/>
        <v>Yes</v>
      </c>
      <c r="S111" s="146" t="str">
        <f t="shared" si="20"/>
        <v>No</v>
      </c>
      <c r="T111" s="146" t="str">
        <f t="shared" si="20"/>
        <v>No</v>
      </c>
      <c r="U111" s="146" t="str">
        <f t="shared" si="20"/>
        <v>No</v>
      </c>
      <c r="V111" s="146" t="str">
        <f t="shared" si="20"/>
        <v>Yes</v>
      </c>
      <c r="W111" s="146" t="str">
        <f t="shared" si="20"/>
        <v>No</v>
      </c>
      <c r="X111" s="146" t="str">
        <f t="shared" si="20"/>
        <v>No</v>
      </c>
      <c r="Y111" s="146" t="str">
        <f t="shared" si="20"/>
        <v>No</v>
      </c>
      <c r="Z111" s="146" t="str">
        <f t="shared" si="20"/>
        <v>No</v>
      </c>
      <c r="AA111" s="146" t="str">
        <f t="shared" si="20"/>
        <v>Yes</v>
      </c>
      <c r="AB111" s="146" t="str">
        <f t="shared" si="21"/>
        <v>No</v>
      </c>
      <c r="AC111" s="146" t="str">
        <f t="shared" si="21"/>
        <v>No</v>
      </c>
      <c r="AD111" s="146" t="str">
        <f t="shared" si="21"/>
        <v>Yes</v>
      </c>
      <c r="AE111" s="146" t="str">
        <f t="shared" si="21"/>
        <v>No</v>
      </c>
      <c r="AF111" s="146" t="str">
        <f t="shared" si="21"/>
        <v>Yes</v>
      </c>
      <c r="AG111" s="146" t="str">
        <f t="shared" si="21"/>
        <v>No</v>
      </c>
      <c r="AH111" s="146" t="str">
        <f t="shared" si="21"/>
        <v>No</v>
      </c>
      <c r="AI111" s="146" t="str">
        <f t="shared" si="21"/>
        <v>No</v>
      </c>
      <c r="AJ111" s="146" t="str">
        <f t="shared" si="21"/>
        <v>Yes</v>
      </c>
      <c r="AK111" s="146" t="str">
        <f t="shared" si="21"/>
        <v>No</v>
      </c>
      <c r="AL111" s="146" t="str">
        <f t="shared" si="21"/>
        <v>No</v>
      </c>
      <c r="AM111" s="146" t="str">
        <f t="shared" si="21"/>
        <v>No</v>
      </c>
      <c r="AN111" s="146" t="str">
        <f t="shared" si="21"/>
        <v>No</v>
      </c>
      <c r="AO111" s="149" t="str">
        <f t="shared" si="21"/>
        <v>No</v>
      </c>
      <c r="AP111" s="181" t="s">
        <v>226</v>
      </c>
      <c r="AQ111" s="146">
        <v>111</v>
      </c>
      <c r="AR111" s="146" t="s">
        <v>361</v>
      </c>
      <c r="AS111" s="146" t="s">
        <v>361</v>
      </c>
      <c r="AT111" s="146" t="s">
        <v>361</v>
      </c>
      <c r="AU111" s="146" t="s">
        <v>361</v>
      </c>
      <c r="AV111" s="146" t="s">
        <v>361</v>
      </c>
      <c r="AW111" s="146" t="s">
        <v>361</v>
      </c>
      <c r="AX111" s="146" t="s">
        <v>360</v>
      </c>
      <c r="AY111" s="146" t="s">
        <v>361</v>
      </c>
      <c r="AZ111" s="146" t="s">
        <v>361</v>
      </c>
      <c r="BA111" s="146" t="s">
        <v>361</v>
      </c>
      <c r="BB111" s="146" t="s">
        <v>361</v>
      </c>
      <c r="BC111" s="146" t="s">
        <v>361</v>
      </c>
      <c r="BD111" s="146" t="s">
        <v>361</v>
      </c>
      <c r="BE111" s="146" t="s">
        <v>361</v>
      </c>
      <c r="BF111" s="146" t="s">
        <v>361</v>
      </c>
      <c r="BG111" s="146" t="s">
        <v>361</v>
      </c>
      <c r="BH111" s="146" t="s">
        <v>361</v>
      </c>
      <c r="BI111" s="146" t="s">
        <v>361</v>
      </c>
      <c r="BJ111" s="146" t="s">
        <v>361</v>
      </c>
      <c r="BK111" s="146" t="s">
        <v>361</v>
      </c>
      <c r="BL111" s="146" t="s">
        <v>361</v>
      </c>
      <c r="BM111" s="146" t="s">
        <v>361</v>
      </c>
      <c r="BN111" s="146" t="s">
        <v>360</v>
      </c>
      <c r="BO111" s="146" t="s">
        <v>361</v>
      </c>
      <c r="BP111" s="146" t="s">
        <v>361</v>
      </c>
      <c r="BQ111" s="146" t="s">
        <v>360</v>
      </c>
      <c r="BR111" s="146" t="s">
        <v>361</v>
      </c>
      <c r="BS111" s="146" t="s">
        <v>361</v>
      </c>
      <c r="BT111" s="146" t="s">
        <v>361</v>
      </c>
      <c r="BU111" s="146" t="s">
        <v>361</v>
      </c>
      <c r="BV111" s="146" t="s">
        <v>361</v>
      </c>
      <c r="BW111" s="146" t="s">
        <v>361</v>
      </c>
      <c r="BX111" s="146" t="s">
        <v>360</v>
      </c>
      <c r="BY111" s="146" t="s">
        <v>361</v>
      </c>
      <c r="BZ111" s="149" t="s">
        <v>361</v>
      </c>
    </row>
    <row r="112" spans="1:78" s="2" customFormat="1" x14ac:dyDescent="0.25">
      <c r="A112" s="181" t="s">
        <v>216</v>
      </c>
      <c r="B112" s="146" t="s">
        <v>360</v>
      </c>
      <c r="C112" s="146" t="s">
        <v>361</v>
      </c>
      <c r="D112" s="146" t="s">
        <v>360</v>
      </c>
      <c r="E112" s="146" t="s">
        <v>360</v>
      </c>
      <c r="F112" s="146" t="s">
        <v>361</v>
      </c>
      <c r="G112" s="146" t="s">
        <v>361</v>
      </c>
      <c r="H112" s="146" t="s">
        <v>361</v>
      </c>
      <c r="I112" s="146" t="s">
        <v>361</v>
      </c>
      <c r="J112" s="149" t="s">
        <v>360</v>
      </c>
      <c r="K112" s="181" t="s">
        <v>216</v>
      </c>
      <c r="L112" s="146" t="str">
        <f>LOOKUP($K112,PantheonList!$A$18:$A$139,PantheonList!$B$18:$B$139)</f>
        <v>Academics</v>
      </c>
      <c r="M112" s="146" t="str">
        <f>LOOKUP($K112,PantheonList!$A$18:$A$139,PantheonList!$C$18:$C$139)</f>
        <v>Command</v>
      </c>
      <c r="N112" s="146" t="str">
        <f>LOOKUP($K112,PantheonList!$A$18:$A$139,PantheonList!$D$18:$D$139)</f>
        <v>Integrity</v>
      </c>
      <c r="O112" s="146" t="str">
        <f>LOOKUP($K112,PantheonList!$A$18:$A$139,PantheonList!$E$18:$E$139)</f>
        <v>Investigation</v>
      </c>
      <c r="P112" s="146" t="str">
        <f>LOOKUP($K112,PantheonList!$A$18:$A$139,PantheonList!$F$18:$F$139)</f>
        <v>melee</v>
      </c>
      <c r="Q112" s="146" t="str">
        <f>LOOKUP($K112,PantheonList!$A$18:$A$139,PantheonList!$G$18:$G$139)</f>
        <v>Politics</v>
      </c>
      <c r="R112" s="146" t="str">
        <f t="shared" ref="R112:AA123" si="22">IF(OR($Q112=R$1,$P112=R$1,$O112=R$1,$N112=R$1,$M112=R$1,$L112=R$1),"Yes","No")</f>
        <v>Yes</v>
      </c>
      <c r="S112" s="146" t="str">
        <f t="shared" si="22"/>
        <v>No</v>
      </c>
      <c r="T112" s="146" t="str">
        <f t="shared" si="22"/>
        <v>No</v>
      </c>
      <c r="U112" s="146" t="str">
        <f t="shared" si="22"/>
        <v>No</v>
      </c>
      <c r="V112" s="146" t="str">
        <f t="shared" si="22"/>
        <v>No</v>
      </c>
      <c r="W112" s="146" t="str">
        <f t="shared" si="22"/>
        <v>No</v>
      </c>
      <c r="X112" s="146" t="str">
        <f t="shared" si="22"/>
        <v>Yes</v>
      </c>
      <c r="Y112" s="146" t="str">
        <f t="shared" si="22"/>
        <v>No</v>
      </c>
      <c r="Z112" s="146" t="str">
        <f t="shared" si="22"/>
        <v>No</v>
      </c>
      <c r="AA112" s="146" t="str">
        <f t="shared" si="22"/>
        <v>No</v>
      </c>
      <c r="AB112" s="146" t="str">
        <f t="shared" ref="AB112:AO123" si="23">IF(OR($Q112=AB$1,$P112=AB$1,$O112=AB$1,$N112=AB$1,$M112=AB$1,$L112=AB$1),"Yes","No")</f>
        <v>No</v>
      </c>
      <c r="AC112" s="146" t="str">
        <f t="shared" si="23"/>
        <v>Yes</v>
      </c>
      <c r="AD112" s="146" t="str">
        <f t="shared" si="23"/>
        <v>Yes</v>
      </c>
      <c r="AE112" s="146" t="str">
        <f t="shared" si="23"/>
        <v>No</v>
      </c>
      <c r="AF112" s="146" t="str">
        <f t="shared" si="23"/>
        <v>No</v>
      </c>
      <c r="AG112" s="146" t="str">
        <f t="shared" si="23"/>
        <v>No</v>
      </c>
      <c r="AH112" s="146" t="str">
        <f t="shared" si="23"/>
        <v>Yes</v>
      </c>
      <c r="AI112" s="146" t="str">
        <f t="shared" si="23"/>
        <v>No</v>
      </c>
      <c r="AJ112" s="146" t="str">
        <f t="shared" si="23"/>
        <v>Yes</v>
      </c>
      <c r="AK112" s="146" t="str">
        <f t="shared" si="23"/>
        <v>No</v>
      </c>
      <c r="AL112" s="146" t="str">
        <f t="shared" si="23"/>
        <v>No</v>
      </c>
      <c r="AM112" s="146" t="str">
        <f t="shared" si="23"/>
        <v>No</v>
      </c>
      <c r="AN112" s="146" t="str">
        <f t="shared" si="23"/>
        <v>No</v>
      </c>
      <c r="AO112" s="149" t="str">
        <f t="shared" si="23"/>
        <v>No</v>
      </c>
      <c r="AP112" s="181" t="s">
        <v>216</v>
      </c>
      <c r="AQ112" s="146">
        <v>112</v>
      </c>
      <c r="AR112" s="146" t="s">
        <v>361</v>
      </c>
      <c r="AS112" s="146" t="s">
        <v>361</v>
      </c>
      <c r="AT112" s="146" t="s">
        <v>361</v>
      </c>
      <c r="AU112" s="146" t="s">
        <v>361</v>
      </c>
      <c r="AV112" s="146" t="s">
        <v>361</v>
      </c>
      <c r="AW112" s="146" t="s">
        <v>361</v>
      </c>
      <c r="AX112" s="146" t="s">
        <v>361</v>
      </c>
      <c r="AY112" s="146" t="s">
        <v>361</v>
      </c>
      <c r="AZ112" s="146" t="s">
        <v>361</v>
      </c>
      <c r="BA112" s="146" t="s">
        <v>361</v>
      </c>
      <c r="BB112" s="146" t="s">
        <v>361</v>
      </c>
      <c r="BC112" s="146" t="s">
        <v>361</v>
      </c>
      <c r="BD112" s="146" t="s">
        <v>361</v>
      </c>
      <c r="BE112" s="146" t="s">
        <v>361</v>
      </c>
      <c r="BF112" s="146" t="s">
        <v>361</v>
      </c>
      <c r="BG112" s="146" t="s">
        <v>361</v>
      </c>
      <c r="BH112" s="146" t="s">
        <v>361</v>
      </c>
      <c r="BI112" s="146" t="s">
        <v>361</v>
      </c>
      <c r="BJ112" s="146" t="s">
        <v>361</v>
      </c>
      <c r="BK112" s="146" t="s">
        <v>360</v>
      </c>
      <c r="BL112" s="146" t="s">
        <v>360</v>
      </c>
      <c r="BM112" s="146" t="s">
        <v>361</v>
      </c>
      <c r="BN112" s="146" t="s">
        <v>361</v>
      </c>
      <c r="BO112" s="146" t="s">
        <v>361</v>
      </c>
      <c r="BP112" s="146" t="s">
        <v>361</v>
      </c>
      <c r="BQ112" s="146" t="s">
        <v>361</v>
      </c>
      <c r="BR112" s="146" t="s">
        <v>361</v>
      </c>
      <c r="BS112" s="146" t="s">
        <v>361</v>
      </c>
      <c r="BT112" s="146" t="s">
        <v>361</v>
      </c>
      <c r="BU112" s="146" t="s">
        <v>361</v>
      </c>
      <c r="BV112" s="146" t="s">
        <v>361</v>
      </c>
      <c r="BW112" s="146" t="s">
        <v>361</v>
      </c>
      <c r="BX112" s="146" t="s">
        <v>361</v>
      </c>
      <c r="BY112" s="146" t="s">
        <v>360</v>
      </c>
      <c r="BZ112" s="149" t="s">
        <v>361</v>
      </c>
    </row>
    <row r="113" spans="1:78" s="2" customFormat="1" x14ac:dyDescent="0.25">
      <c r="A113" s="181" t="s">
        <v>323</v>
      </c>
      <c r="B113" s="146" t="s">
        <v>361</v>
      </c>
      <c r="C113" s="146" t="s">
        <v>361</v>
      </c>
      <c r="D113" s="146" t="s">
        <v>361</v>
      </c>
      <c r="E113" s="146" t="s">
        <v>361</v>
      </c>
      <c r="F113" s="146" t="s">
        <v>360</v>
      </c>
      <c r="G113" s="146" t="s">
        <v>361</v>
      </c>
      <c r="H113" s="146" t="s">
        <v>361</v>
      </c>
      <c r="I113" s="146" t="s">
        <v>360</v>
      </c>
      <c r="J113" s="149" t="s">
        <v>361</v>
      </c>
      <c r="K113" s="181" t="s">
        <v>323</v>
      </c>
      <c r="L113" s="146" t="str">
        <f>LOOKUP($K113,PantheonList!$A$18:$A$139,PantheonList!$B$18:$B$139)</f>
        <v>Command</v>
      </c>
      <c r="M113" s="146" t="str">
        <f>LOOKUP($K113,PantheonList!$A$18:$A$139,PantheonList!$C$18:$C$139)</f>
        <v>Fortitude</v>
      </c>
      <c r="N113" s="146" t="str">
        <f>LOOKUP($K113,PantheonList!$A$18:$A$139,PantheonList!$D$18:$D$139)</f>
        <v>Integrity</v>
      </c>
      <c r="O113" s="146" t="str">
        <f>LOOKUP($K113,PantheonList!$A$18:$A$139,PantheonList!$E$18:$E$139)</f>
        <v>Marksmanship</v>
      </c>
      <c r="P113" s="146" t="str">
        <f>LOOKUP($K113,PantheonList!$A$18:$A$139,PantheonList!$F$18:$F$139)</f>
        <v>Politics</v>
      </c>
      <c r="Q113" s="146" t="str">
        <f>LOOKUP($K113,PantheonList!$A$18:$A$139,PantheonList!$G$18:$G$139)</f>
        <v>Presence</v>
      </c>
      <c r="R113" s="146" t="str">
        <f t="shared" si="22"/>
        <v>No</v>
      </c>
      <c r="S113" s="146" t="str">
        <f t="shared" si="22"/>
        <v>No</v>
      </c>
      <c r="T113" s="146" t="str">
        <f t="shared" si="22"/>
        <v>No</v>
      </c>
      <c r="U113" s="146" t="str">
        <f t="shared" si="22"/>
        <v>No</v>
      </c>
      <c r="V113" s="146" t="str">
        <f t="shared" si="22"/>
        <v>No</v>
      </c>
      <c r="W113" s="146" t="str">
        <f t="shared" si="22"/>
        <v>No</v>
      </c>
      <c r="X113" s="146" t="str">
        <f t="shared" si="22"/>
        <v>Yes</v>
      </c>
      <c r="Y113" s="146" t="str">
        <f t="shared" si="22"/>
        <v>No</v>
      </c>
      <c r="Z113" s="146" t="str">
        <f t="shared" si="22"/>
        <v>No</v>
      </c>
      <c r="AA113" s="146" t="str">
        <f t="shared" si="22"/>
        <v>No</v>
      </c>
      <c r="AB113" s="146" t="str">
        <f t="shared" si="23"/>
        <v>Yes</v>
      </c>
      <c r="AC113" s="146" t="str">
        <f t="shared" si="23"/>
        <v>Yes</v>
      </c>
      <c r="AD113" s="146" t="str">
        <f t="shared" si="23"/>
        <v>No</v>
      </c>
      <c r="AE113" s="146" t="str">
        <f t="shared" si="23"/>
        <v>No</v>
      </c>
      <c r="AF113" s="146" t="str">
        <f t="shared" si="23"/>
        <v>Yes</v>
      </c>
      <c r="AG113" s="146" t="str">
        <f t="shared" si="23"/>
        <v>No</v>
      </c>
      <c r="AH113" s="146" t="str">
        <f t="shared" si="23"/>
        <v>No</v>
      </c>
      <c r="AI113" s="146" t="str">
        <f t="shared" si="23"/>
        <v>No</v>
      </c>
      <c r="AJ113" s="146" t="str">
        <f t="shared" si="23"/>
        <v>Yes</v>
      </c>
      <c r="AK113" s="146" t="str">
        <f t="shared" si="23"/>
        <v>Yes</v>
      </c>
      <c r="AL113" s="146" t="str">
        <f t="shared" si="23"/>
        <v>No</v>
      </c>
      <c r="AM113" s="146" t="str">
        <f t="shared" si="23"/>
        <v>No</v>
      </c>
      <c r="AN113" s="146" t="str">
        <f t="shared" si="23"/>
        <v>No</v>
      </c>
      <c r="AO113" s="149" t="str">
        <f t="shared" si="23"/>
        <v>No</v>
      </c>
      <c r="AP113" s="181" t="s">
        <v>323</v>
      </c>
      <c r="AQ113" s="146">
        <v>113</v>
      </c>
      <c r="AR113" s="146" t="s">
        <v>360</v>
      </c>
      <c r="AS113" s="146" t="s">
        <v>361</v>
      </c>
      <c r="AT113" s="146" t="s">
        <v>361</v>
      </c>
      <c r="AU113" s="146" t="s">
        <v>361</v>
      </c>
      <c r="AV113" s="146" t="s">
        <v>361</v>
      </c>
      <c r="AW113" s="146" t="s">
        <v>361</v>
      </c>
      <c r="AX113" s="146" t="s">
        <v>361</v>
      </c>
      <c r="AY113" s="146" t="s">
        <v>361</v>
      </c>
      <c r="AZ113" s="146" t="s">
        <v>361</v>
      </c>
      <c r="BA113" s="146" t="s">
        <v>361</v>
      </c>
      <c r="BB113" s="146" t="s">
        <v>361</v>
      </c>
      <c r="BC113" s="146" t="s">
        <v>361</v>
      </c>
      <c r="BD113" s="146" t="s">
        <v>361</v>
      </c>
      <c r="BE113" s="146" t="s">
        <v>360</v>
      </c>
      <c r="BF113" s="146" t="s">
        <v>361</v>
      </c>
      <c r="BG113" s="146" t="s">
        <v>361</v>
      </c>
      <c r="BH113" s="146" t="s">
        <v>361</v>
      </c>
      <c r="BI113" s="146" t="s">
        <v>360</v>
      </c>
      <c r="BJ113" s="146" t="s">
        <v>361</v>
      </c>
      <c r="BK113" s="146" t="s">
        <v>361</v>
      </c>
      <c r="BL113" s="146" t="s">
        <v>360</v>
      </c>
      <c r="BM113" s="146" t="s">
        <v>361</v>
      </c>
      <c r="BN113" s="146" t="s">
        <v>361</v>
      </c>
      <c r="BO113" s="146" t="s">
        <v>361</v>
      </c>
      <c r="BP113" s="146" t="s">
        <v>361</v>
      </c>
      <c r="BQ113" s="146" t="s">
        <v>361</v>
      </c>
      <c r="BR113" s="146" t="s">
        <v>361</v>
      </c>
      <c r="BS113" s="146" t="s">
        <v>361</v>
      </c>
      <c r="BT113" s="146" t="s">
        <v>361</v>
      </c>
      <c r="BU113" s="146" t="s">
        <v>361</v>
      </c>
      <c r="BV113" s="146" t="s">
        <v>361</v>
      </c>
      <c r="BW113" s="146" t="s">
        <v>361</v>
      </c>
      <c r="BX113" s="146" t="s">
        <v>361</v>
      </c>
      <c r="BY113" s="146" t="s">
        <v>360</v>
      </c>
      <c r="BZ113" s="149" t="s">
        <v>361</v>
      </c>
    </row>
    <row r="114" spans="1:78" s="2" customFormat="1" x14ac:dyDescent="0.25">
      <c r="A114" s="181" t="s">
        <v>311</v>
      </c>
      <c r="B114" s="146" t="s">
        <v>360</v>
      </c>
      <c r="C114" s="146" t="s">
        <v>361</v>
      </c>
      <c r="D114" s="146" t="s">
        <v>360</v>
      </c>
      <c r="E114" s="146" t="s">
        <v>361</v>
      </c>
      <c r="F114" s="146" t="s">
        <v>361</v>
      </c>
      <c r="G114" s="146" t="s">
        <v>361</v>
      </c>
      <c r="H114" s="146" t="s">
        <v>361</v>
      </c>
      <c r="I114" s="146" t="s">
        <v>361</v>
      </c>
      <c r="J114" s="149" t="s">
        <v>361</v>
      </c>
      <c r="K114" s="181" t="s">
        <v>311</v>
      </c>
      <c r="L114" s="146" t="str">
        <f>LOOKUP($K114,PantheonList!$A$18:$A$139,PantheonList!$B$18:$B$139)</f>
        <v>Brawl</v>
      </c>
      <c r="M114" s="146" t="str">
        <f>LOOKUP($K114,PantheonList!$A$18:$A$139,PantheonList!$C$18:$C$139)</f>
        <v>Command</v>
      </c>
      <c r="N114" s="146" t="str">
        <f>LOOKUP($K114,PantheonList!$A$18:$A$139,PantheonList!$D$18:$D$139)</f>
        <v>Craft</v>
      </c>
      <c r="O114" s="146" t="str">
        <f>LOOKUP($K114,PantheonList!$A$18:$A$139,PantheonList!$E$18:$E$139)</f>
        <v>Marksmanship</v>
      </c>
      <c r="P114" s="146" t="str">
        <f>LOOKUP($K114,PantheonList!$A$18:$A$139,PantheonList!$F$18:$F$139)</f>
        <v>Melee</v>
      </c>
      <c r="Q114" s="146" t="str">
        <f>LOOKUP($K114,PantheonList!$A$18:$A$139,PantheonList!$G$18:$G$139)</f>
        <v>Thrown</v>
      </c>
      <c r="R114" s="146" t="str">
        <f t="shared" si="22"/>
        <v>No</v>
      </c>
      <c r="S114" s="146" t="str">
        <f t="shared" si="22"/>
        <v>No</v>
      </c>
      <c r="T114" s="146" t="str">
        <f t="shared" si="22"/>
        <v>No</v>
      </c>
      <c r="U114" s="146" t="str">
        <f t="shared" si="22"/>
        <v>No</v>
      </c>
      <c r="V114" s="146" t="str">
        <f t="shared" si="22"/>
        <v>No</v>
      </c>
      <c r="W114" s="146" t="str">
        <f t="shared" si="22"/>
        <v>Yes</v>
      </c>
      <c r="X114" s="146" t="str">
        <f t="shared" si="22"/>
        <v>Yes</v>
      </c>
      <c r="Y114" s="146" t="str">
        <f t="shared" si="22"/>
        <v>No</v>
      </c>
      <c r="Z114" s="146" t="str">
        <f t="shared" si="22"/>
        <v>Yes</v>
      </c>
      <c r="AA114" s="146" t="str">
        <f t="shared" si="22"/>
        <v>No</v>
      </c>
      <c r="AB114" s="146" t="str">
        <f t="shared" si="23"/>
        <v>No</v>
      </c>
      <c r="AC114" s="146" t="str">
        <f t="shared" si="23"/>
        <v>No</v>
      </c>
      <c r="AD114" s="146" t="str">
        <f t="shared" si="23"/>
        <v>No</v>
      </c>
      <c r="AE114" s="146" t="str">
        <f t="shared" si="23"/>
        <v>No</v>
      </c>
      <c r="AF114" s="146" t="str">
        <f t="shared" si="23"/>
        <v>Yes</v>
      </c>
      <c r="AG114" s="146" t="str">
        <f t="shared" si="23"/>
        <v>No</v>
      </c>
      <c r="AH114" s="146" t="str">
        <f t="shared" si="23"/>
        <v>Yes</v>
      </c>
      <c r="AI114" s="146" t="str">
        <f t="shared" si="23"/>
        <v>No</v>
      </c>
      <c r="AJ114" s="146" t="str">
        <f t="shared" si="23"/>
        <v>No</v>
      </c>
      <c r="AK114" s="146" t="str">
        <f t="shared" si="23"/>
        <v>No</v>
      </c>
      <c r="AL114" s="146" t="str">
        <f t="shared" si="23"/>
        <v>No</v>
      </c>
      <c r="AM114" s="146" t="str">
        <f t="shared" si="23"/>
        <v>No</v>
      </c>
      <c r="AN114" s="146" t="str">
        <f t="shared" si="23"/>
        <v>No</v>
      </c>
      <c r="AO114" s="149" t="str">
        <f t="shared" si="23"/>
        <v>Yes</v>
      </c>
      <c r="AP114" s="181" t="s">
        <v>311</v>
      </c>
      <c r="AQ114" s="146">
        <v>114</v>
      </c>
      <c r="AR114" s="146" t="s">
        <v>360</v>
      </c>
      <c r="AS114" s="146" t="s">
        <v>361</v>
      </c>
      <c r="AT114" s="146" t="s">
        <v>360</v>
      </c>
      <c r="AU114" s="146" t="s">
        <v>361</v>
      </c>
      <c r="AV114" s="146" t="s">
        <v>361</v>
      </c>
      <c r="AW114" s="146" t="s">
        <v>361</v>
      </c>
      <c r="AX114" s="146" t="s">
        <v>361</v>
      </c>
      <c r="AY114" s="146" t="s">
        <v>361</v>
      </c>
      <c r="AZ114" s="146" t="s">
        <v>361</v>
      </c>
      <c r="BA114" s="146" t="s">
        <v>361</v>
      </c>
      <c r="BB114" s="146" t="s">
        <v>361</v>
      </c>
      <c r="BC114" s="146" t="s">
        <v>360</v>
      </c>
      <c r="BD114" s="146" t="s">
        <v>361</v>
      </c>
      <c r="BE114" s="146" t="s">
        <v>361</v>
      </c>
      <c r="BF114" s="146" t="s">
        <v>361</v>
      </c>
      <c r="BG114" s="146" t="s">
        <v>361</v>
      </c>
      <c r="BH114" s="146" t="s">
        <v>361</v>
      </c>
      <c r="BI114" s="146" t="s">
        <v>361</v>
      </c>
      <c r="BJ114" s="146" t="s">
        <v>361</v>
      </c>
      <c r="BK114" s="146" t="s">
        <v>361</v>
      </c>
      <c r="BL114" s="146" t="s">
        <v>361</v>
      </c>
      <c r="BM114" s="146" t="s">
        <v>361</v>
      </c>
      <c r="BN114" s="146" t="s">
        <v>361</v>
      </c>
      <c r="BO114" s="146" t="s">
        <v>361</v>
      </c>
      <c r="BP114" s="146" t="s">
        <v>361</v>
      </c>
      <c r="BQ114" s="146" t="s">
        <v>361</v>
      </c>
      <c r="BR114" s="146" t="s">
        <v>361</v>
      </c>
      <c r="BS114" s="146" t="s">
        <v>361</v>
      </c>
      <c r="BT114" s="146" t="s">
        <v>361</v>
      </c>
      <c r="BU114" s="146" t="s">
        <v>361</v>
      </c>
      <c r="BV114" s="146" t="s">
        <v>361</v>
      </c>
      <c r="BW114" s="146" t="s">
        <v>361</v>
      </c>
      <c r="BX114" s="146" t="s">
        <v>361</v>
      </c>
      <c r="BY114" s="146" t="s">
        <v>360</v>
      </c>
      <c r="BZ114" s="149" t="s">
        <v>361</v>
      </c>
    </row>
    <row r="115" spans="1:78" s="2" customFormat="1" x14ac:dyDescent="0.25">
      <c r="A115" s="181" t="s">
        <v>312</v>
      </c>
      <c r="B115" s="146" t="s">
        <v>361</v>
      </c>
      <c r="C115" s="146" t="s">
        <v>360</v>
      </c>
      <c r="D115" s="146" t="s">
        <v>361</v>
      </c>
      <c r="E115" s="146" t="s">
        <v>361</v>
      </c>
      <c r="F115" s="146" t="s">
        <v>360</v>
      </c>
      <c r="G115" s="146" t="s">
        <v>361</v>
      </c>
      <c r="H115" s="146" t="s">
        <v>361</v>
      </c>
      <c r="I115" s="146" t="s">
        <v>361</v>
      </c>
      <c r="J115" s="149" t="s">
        <v>361</v>
      </c>
      <c r="K115" s="181" t="s">
        <v>312</v>
      </c>
      <c r="L115" s="146" t="str">
        <f>LOOKUP($K115,PantheonList!$A$18:$A$139,PantheonList!$B$18:$B$139)</f>
        <v>Athletics</v>
      </c>
      <c r="M115" s="146" t="str">
        <f>LOOKUP($K115,PantheonList!$A$18:$A$139,PantheonList!$C$18:$C$139)</f>
        <v>Awareness</v>
      </c>
      <c r="N115" s="146" t="str">
        <f>LOOKUP($K115,PantheonList!$A$18:$A$139,PantheonList!$D$18:$D$139)</f>
        <v>Control</v>
      </c>
      <c r="O115" s="146" t="str">
        <f>LOOKUP($K115,PantheonList!$A$18:$A$139,PantheonList!$E$18:$E$139)</f>
        <v>Melee</v>
      </c>
      <c r="P115" s="146" t="str">
        <f>LOOKUP($K115,PantheonList!$A$18:$A$139,PantheonList!$F$18:$F$139)</f>
        <v>Presence</v>
      </c>
      <c r="Q115" s="146" t="str">
        <f>LOOKUP($K115,PantheonList!$A$18:$A$139,PantheonList!$G$18:$G$139)</f>
        <v>Stealth</v>
      </c>
      <c r="R115" s="146" t="str">
        <f t="shared" si="22"/>
        <v>No</v>
      </c>
      <c r="S115" s="146" t="str">
        <f t="shared" si="22"/>
        <v>No</v>
      </c>
      <c r="T115" s="146" t="str">
        <f t="shared" si="22"/>
        <v>No</v>
      </c>
      <c r="U115" s="146" t="str">
        <f t="shared" si="22"/>
        <v>Yes</v>
      </c>
      <c r="V115" s="146" t="str">
        <f t="shared" si="22"/>
        <v>Yes</v>
      </c>
      <c r="W115" s="146" t="str">
        <f t="shared" si="22"/>
        <v>No</v>
      </c>
      <c r="X115" s="146" t="str">
        <f t="shared" si="22"/>
        <v>No</v>
      </c>
      <c r="Y115" s="146" t="str">
        <f t="shared" si="22"/>
        <v>Yes</v>
      </c>
      <c r="Z115" s="146" t="str">
        <f t="shared" si="22"/>
        <v>No</v>
      </c>
      <c r="AA115" s="146" t="str">
        <f t="shared" si="22"/>
        <v>No</v>
      </c>
      <c r="AB115" s="146" t="str">
        <f t="shared" si="23"/>
        <v>No</v>
      </c>
      <c r="AC115" s="146" t="str">
        <f t="shared" si="23"/>
        <v>No</v>
      </c>
      <c r="AD115" s="146" t="str">
        <f t="shared" si="23"/>
        <v>No</v>
      </c>
      <c r="AE115" s="146" t="str">
        <f t="shared" si="23"/>
        <v>No</v>
      </c>
      <c r="AF115" s="146" t="str">
        <f t="shared" si="23"/>
        <v>No</v>
      </c>
      <c r="AG115" s="146" t="str">
        <f t="shared" si="23"/>
        <v>No</v>
      </c>
      <c r="AH115" s="146" t="str">
        <f t="shared" si="23"/>
        <v>Yes</v>
      </c>
      <c r="AI115" s="146" t="str">
        <f t="shared" si="23"/>
        <v>No</v>
      </c>
      <c r="AJ115" s="146" t="str">
        <f t="shared" si="23"/>
        <v>No</v>
      </c>
      <c r="AK115" s="146" t="str">
        <f t="shared" si="23"/>
        <v>Yes</v>
      </c>
      <c r="AL115" s="146" t="str">
        <f t="shared" si="23"/>
        <v>No</v>
      </c>
      <c r="AM115" s="146" t="str">
        <f t="shared" si="23"/>
        <v>Yes</v>
      </c>
      <c r="AN115" s="146" t="str">
        <f t="shared" si="23"/>
        <v>No</v>
      </c>
      <c r="AO115" s="149" t="str">
        <f t="shared" si="23"/>
        <v>No</v>
      </c>
      <c r="AP115" s="181" t="s">
        <v>312</v>
      </c>
      <c r="AQ115" s="146">
        <v>115</v>
      </c>
      <c r="AR115" s="146" t="s">
        <v>361</v>
      </c>
      <c r="AS115" s="146" t="s">
        <v>361</v>
      </c>
      <c r="AT115" s="146" t="s">
        <v>360</v>
      </c>
      <c r="AU115" s="146" t="s">
        <v>360</v>
      </c>
      <c r="AV115" s="146" t="s">
        <v>361</v>
      </c>
      <c r="AW115" s="146" t="s">
        <v>361</v>
      </c>
      <c r="AX115" s="146" t="s">
        <v>361</v>
      </c>
      <c r="AY115" s="146" t="s">
        <v>360</v>
      </c>
      <c r="AZ115" s="146" t="s">
        <v>361</v>
      </c>
      <c r="BA115" s="146" t="s">
        <v>361</v>
      </c>
      <c r="BB115" s="146" t="s">
        <v>361</v>
      </c>
      <c r="BC115" s="146" t="s">
        <v>361</v>
      </c>
      <c r="BD115" s="146" t="s">
        <v>361</v>
      </c>
      <c r="BE115" s="146" t="s">
        <v>361</v>
      </c>
      <c r="BF115" s="146" t="s">
        <v>361</v>
      </c>
      <c r="BG115" s="146" t="s">
        <v>361</v>
      </c>
      <c r="BH115" s="146" t="s">
        <v>361</v>
      </c>
      <c r="BI115" s="146" t="s">
        <v>361</v>
      </c>
      <c r="BJ115" s="146" t="s">
        <v>361</v>
      </c>
      <c r="BK115" s="146" t="s">
        <v>361</v>
      </c>
      <c r="BL115" s="146" t="s">
        <v>361</v>
      </c>
      <c r="BM115" s="146" t="s">
        <v>361</v>
      </c>
      <c r="BN115" s="146" t="s">
        <v>361</v>
      </c>
      <c r="BO115" s="146" t="s">
        <v>361</v>
      </c>
      <c r="BP115" s="146" t="s">
        <v>361</v>
      </c>
      <c r="BQ115" s="146" t="s">
        <v>360</v>
      </c>
      <c r="BR115" s="146" t="s">
        <v>361</v>
      </c>
      <c r="BS115" s="146" t="s">
        <v>361</v>
      </c>
      <c r="BT115" s="146" t="s">
        <v>360</v>
      </c>
      <c r="BU115" s="146" t="s">
        <v>361</v>
      </c>
      <c r="BV115" s="146" t="s">
        <v>361</v>
      </c>
      <c r="BW115" s="146" t="s">
        <v>361</v>
      </c>
      <c r="BX115" s="146" t="s">
        <v>361</v>
      </c>
      <c r="BY115" s="146" t="s">
        <v>361</v>
      </c>
      <c r="BZ115" s="149" t="s">
        <v>361</v>
      </c>
    </row>
    <row r="116" spans="1:78" s="2" customFormat="1" x14ac:dyDescent="0.25">
      <c r="A116" s="181" t="s">
        <v>217</v>
      </c>
      <c r="B116" s="146" t="s">
        <v>360</v>
      </c>
      <c r="C116" s="146" t="s">
        <v>361</v>
      </c>
      <c r="D116" s="146" t="s">
        <v>360</v>
      </c>
      <c r="E116" s="146" t="s">
        <v>361</v>
      </c>
      <c r="F116" s="146" t="s">
        <v>361</v>
      </c>
      <c r="G116" s="146" t="s">
        <v>361</v>
      </c>
      <c r="H116" s="146" t="s">
        <v>361</v>
      </c>
      <c r="I116" s="146" t="s">
        <v>361</v>
      </c>
      <c r="J116" s="149" t="s">
        <v>361</v>
      </c>
      <c r="K116" s="181" t="s">
        <v>217</v>
      </c>
      <c r="L116" s="146" t="str">
        <f>LOOKUP($K116,PantheonList!$A$18:$A$139,PantheonList!$B$18:$B$139)</f>
        <v>Awareness</v>
      </c>
      <c r="M116" s="146" t="str">
        <f>LOOKUP($K116,PantheonList!$A$18:$A$139,PantheonList!$C$18:$C$139)</f>
        <v>Brawl</v>
      </c>
      <c r="N116" s="146" t="str">
        <f>LOOKUP($K116,PantheonList!$A$18:$A$139,PantheonList!$D$18:$D$139)</f>
        <v>Fortitude</v>
      </c>
      <c r="O116" s="146" t="str">
        <f>LOOKUP($K116,PantheonList!$A$18:$A$139,PantheonList!$E$18:$E$139)</f>
        <v>Investigation</v>
      </c>
      <c r="P116" s="146" t="str">
        <f>LOOKUP($K116,PantheonList!$A$18:$A$139,PantheonList!$F$18:$F$139)</f>
        <v>Politics</v>
      </c>
      <c r="Q116" s="146" t="str">
        <f>LOOKUP($K116,PantheonList!$A$18:$A$139,PantheonList!$G$18:$G$139)</f>
        <v>Stealth</v>
      </c>
      <c r="R116" s="146" t="str">
        <f t="shared" si="22"/>
        <v>No</v>
      </c>
      <c r="S116" s="146" t="str">
        <f t="shared" si="22"/>
        <v>No</v>
      </c>
      <c r="T116" s="146" t="str">
        <f t="shared" si="22"/>
        <v>No</v>
      </c>
      <c r="U116" s="146" t="str">
        <f t="shared" si="22"/>
        <v>No</v>
      </c>
      <c r="V116" s="146" t="str">
        <f t="shared" si="22"/>
        <v>Yes</v>
      </c>
      <c r="W116" s="146" t="str">
        <f t="shared" si="22"/>
        <v>Yes</v>
      </c>
      <c r="X116" s="146" t="str">
        <f t="shared" si="22"/>
        <v>No</v>
      </c>
      <c r="Y116" s="146" t="str">
        <f t="shared" si="22"/>
        <v>No</v>
      </c>
      <c r="Z116" s="146" t="str">
        <f t="shared" si="22"/>
        <v>No</v>
      </c>
      <c r="AA116" s="146" t="str">
        <f t="shared" si="22"/>
        <v>No</v>
      </c>
      <c r="AB116" s="146" t="str">
        <f t="shared" si="23"/>
        <v>Yes</v>
      </c>
      <c r="AC116" s="146" t="str">
        <f t="shared" si="23"/>
        <v>No</v>
      </c>
      <c r="AD116" s="146" t="str">
        <f t="shared" si="23"/>
        <v>Yes</v>
      </c>
      <c r="AE116" s="146" t="str">
        <f t="shared" si="23"/>
        <v>No</v>
      </c>
      <c r="AF116" s="146" t="str">
        <f t="shared" si="23"/>
        <v>No</v>
      </c>
      <c r="AG116" s="146" t="str">
        <f t="shared" si="23"/>
        <v>No</v>
      </c>
      <c r="AH116" s="146" t="str">
        <f t="shared" si="23"/>
        <v>No</v>
      </c>
      <c r="AI116" s="146" t="str">
        <f t="shared" si="23"/>
        <v>No</v>
      </c>
      <c r="AJ116" s="146" t="str">
        <f t="shared" si="23"/>
        <v>Yes</v>
      </c>
      <c r="AK116" s="146" t="str">
        <f t="shared" si="23"/>
        <v>No</v>
      </c>
      <c r="AL116" s="146" t="str">
        <f t="shared" si="23"/>
        <v>No</v>
      </c>
      <c r="AM116" s="146" t="str">
        <f t="shared" si="23"/>
        <v>Yes</v>
      </c>
      <c r="AN116" s="146" t="str">
        <f t="shared" si="23"/>
        <v>No</v>
      </c>
      <c r="AO116" s="149" t="str">
        <f t="shared" si="23"/>
        <v>No</v>
      </c>
      <c r="AP116" s="181" t="s">
        <v>217</v>
      </c>
      <c r="AQ116" s="146">
        <v>116</v>
      </c>
      <c r="AR116" s="146" t="s">
        <v>361</v>
      </c>
      <c r="AS116" s="146" t="s">
        <v>361</v>
      </c>
      <c r="AT116" s="146" t="s">
        <v>361</v>
      </c>
      <c r="AU116" s="146" t="s">
        <v>361</v>
      </c>
      <c r="AV116" s="146" t="s">
        <v>361</v>
      </c>
      <c r="AW116" s="146" t="s">
        <v>361</v>
      </c>
      <c r="AX116" s="146" t="s">
        <v>361</v>
      </c>
      <c r="AY116" s="146" t="s">
        <v>361</v>
      </c>
      <c r="AZ116" s="146" t="s">
        <v>361</v>
      </c>
      <c r="BA116" s="146" t="s">
        <v>361</v>
      </c>
      <c r="BB116" s="146" t="s">
        <v>361</v>
      </c>
      <c r="BC116" s="146" t="s">
        <v>361</v>
      </c>
      <c r="BD116" s="146" t="s">
        <v>361</v>
      </c>
      <c r="BE116" s="146" t="s">
        <v>361</v>
      </c>
      <c r="BF116" s="146" t="s">
        <v>361</v>
      </c>
      <c r="BG116" s="146" t="s">
        <v>361</v>
      </c>
      <c r="BH116" s="146" t="s">
        <v>361</v>
      </c>
      <c r="BI116" s="146" t="s">
        <v>361</v>
      </c>
      <c r="BJ116" s="146" t="s">
        <v>361</v>
      </c>
      <c r="BK116" s="146" t="s">
        <v>360</v>
      </c>
      <c r="BL116" s="146" t="s">
        <v>360</v>
      </c>
      <c r="BM116" s="146" t="s">
        <v>361</v>
      </c>
      <c r="BN116" s="146" t="s">
        <v>361</v>
      </c>
      <c r="BO116" s="146" t="s">
        <v>361</v>
      </c>
      <c r="BP116" s="146" t="s">
        <v>361</v>
      </c>
      <c r="BQ116" s="146" t="s">
        <v>361</v>
      </c>
      <c r="BR116" s="146" t="s">
        <v>361</v>
      </c>
      <c r="BS116" s="146" t="s">
        <v>361</v>
      </c>
      <c r="BT116" s="146" t="s">
        <v>361</v>
      </c>
      <c r="BU116" s="146" t="s">
        <v>361</v>
      </c>
      <c r="BV116" s="146" t="s">
        <v>361</v>
      </c>
      <c r="BW116" s="146" t="s">
        <v>361</v>
      </c>
      <c r="BX116" s="146" t="s">
        <v>361</v>
      </c>
      <c r="BY116" s="146" t="s">
        <v>361</v>
      </c>
      <c r="BZ116" s="149" t="s">
        <v>361</v>
      </c>
    </row>
    <row r="117" spans="1:78" s="2" customFormat="1" x14ac:dyDescent="0.25">
      <c r="A117" s="181" t="s">
        <v>258</v>
      </c>
      <c r="B117" s="146" t="s">
        <v>360</v>
      </c>
      <c r="C117" s="146" t="s">
        <v>361</v>
      </c>
      <c r="D117" s="146" t="s">
        <v>361</v>
      </c>
      <c r="E117" s="146" t="s">
        <v>360</v>
      </c>
      <c r="F117" s="146" t="s">
        <v>361</v>
      </c>
      <c r="G117" s="146" t="s">
        <v>361</v>
      </c>
      <c r="H117" s="146" t="s">
        <v>360</v>
      </c>
      <c r="I117" s="146" t="s">
        <v>360</v>
      </c>
      <c r="J117" s="149" t="s">
        <v>361</v>
      </c>
      <c r="K117" s="181" t="s">
        <v>258</v>
      </c>
      <c r="L117" s="146" t="str">
        <f>LOOKUP($K117,PantheonList!$A$18:$A$139,PantheonList!$B$18:$B$139)</f>
        <v>Awareness</v>
      </c>
      <c r="M117" s="146" t="str">
        <f>LOOKUP($K117,PantheonList!$A$18:$A$139,PantheonList!$C$18:$C$139)</f>
        <v>Brawl</v>
      </c>
      <c r="N117" s="146" t="str">
        <f>LOOKUP($K117,PantheonList!$A$18:$A$139,PantheonList!$D$18:$D$139)</f>
        <v>Fortitude</v>
      </c>
      <c r="O117" s="146" t="str">
        <f>LOOKUP($K117,PantheonList!$A$18:$A$139,PantheonList!$E$18:$E$139)</f>
        <v>Investigation</v>
      </c>
      <c r="P117" s="146" t="str">
        <f>LOOKUP($K117,PantheonList!$A$18:$A$139,PantheonList!$F$18:$F$139)</f>
        <v>Politics</v>
      </c>
      <c r="Q117" s="146" t="str">
        <f>LOOKUP($K117,PantheonList!$A$18:$A$139,PantheonList!$G$18:$G$139)</f>
        <v>Stealth</v>
      </c>
      <c r="R117" s="146" t="str">
        <f t="shared" si="22"/>
        <v>No</v>
      </c>
      <c r="S117" s="146" t="str">
        <f t="shared" si="22"/>
        <v>No</v>
      </c>
      <c r="T117" s="146" t="str">
        <f t="shared" si="22"/>
        <v>No</v>
      </c>
      <c r="U117" s="146" t="str">
        <f t="shared" si="22"/>
        <v>No</v>
      </c>
      <c r="V117" s="146" t="str">
        <f t="shared" si="22"/>
        <v>Yes</v>
      </c>
      <c r="W117" s="146" t="str">
        <f t="shared" si="22"/>
        <v>Yes</v>
      </c>
      <c r="X117" s="146" t="str">
        <f t="shared" si="22"/>
        <v>No</v>
      </c>
      <c r="Y117" s="146" t="str">
        <f t="shared" si="22"/>
        <v>No</v>
      </c>
      <c r="Z117" s="146" t="str">
        <f t="shared" si="22"/>
        <v>No</v>
      </c>
      <c r="AA117" s="146" t="str">
        <f t="shared" si="22"/>
        <v>No</v>
      </c>
      <c r="AB117" s="146" t="str">
        <f t="shared" si="23"/>
        <v>Yes</v>
      </c>
      <c r="AC117" s="146" t="str">
        <f t="shared" si="23"/>
        <v>No</v>
      </c>
      <c r="AD117" s="146" t="str">
        <f t="shared" si="23"/>
        <v>Yes</v>
      </c>
      <c r="AE117" s="146" t="str">
        <f t="shared" si="23"/>
        <v>No</v>
      </c>
      <c r="AF117" s="146" t="str">
        <f t="shared" si="23"/>
        <v>No</v>
      </c>
      <c r="AG117" s="146" t="str">
        <f t="shared" si="23"/>
        <v>No</v>
      </c>
      <c r="AH117" s="146" t="str">
        <f t="shared" si="23"/>
        <v>No</v>
      </c>
      <c r="AI117" s="146" t="str">
        <f t="shared" si="23"/>
        <v>No</v>
      </c>
      <c r="AJ117" s="146" t="str">
        <f t="shared" si="23"/>
        <v>Yes</v>
      </c>
      <c r="AK117" s="146" t="str">
        <f t="shared" si="23"/>
        <v>No</v>
      </c>
      <c r="AL117" s="146" t="str">
        <f t="shared" si="23"/>
        <v>No</v>
      </c>
      <c r="AM117" s="146" t="str">
        <f t="shared" si="23"/>
        <v>Yes</v>
      </c>
      <c r="AN117" s="146" t="str">
        <f t="shared" si="23"/>
        <v>No</v>
      </c>
      <c r="AO117" s="149" t="str">
        <f t="shared" si="23"/>
        <v>No</v>
      </c>
      <c r="AP117" s="181" t="s">
        <v>258</v>
      </c>
      <c r="AQ117" s="146">
        <v>117</v>
      </c>
      <c r="AR117" s="146" t="s">
        <v>360</v>
      </c>
      <c r="AS117" s="146" t="s">
        <v>361</v>
      </c>
      <c r="AT117" s="146" t="s">
        <v>361</v>
      </c>
      <c r="AU117" s="146" t="s">
        <v>361</v>
      </c>
      <c r="AV117" s="146" t="s">
        <v>361</v>
      </c>
      <c r="AW117" s="146" t="s">
        <v>361</v>
      </c>
      <c r="AX117" s="146" t="s">
        <v>361</v>
      </c>
      <c r="AY117" s="146" t="s">
        <v>361</v>
      </c>
      <c r="AZ117" s="146" t="s">
        <v>361</v>
      </c>
      <c r="BA117" s="146" t="s">
        <v>361</v>
      </c>
      <c r="BB117" s="146" t="s">
        <v>360</v>
      </c>
      <c r="BC117" s="146" t="s">
        <v>361</v>
      </c>
      <c r="BD117" s="146" t="s">
        <v>361</v>
      </c>
      <c r="BE117" s="146" t="s">
        <v>360</v>
      </c>
      <c r="BF117" s="146" t="s">
        <v>360</v>
      </c>
      <c r="BG117" s="146" t="s">
        <v>361</v>
      </c>
      <c r="BH117" s="146" t="s">
        <v>361</v>
      </c>
      <c r="BI117" s="146" t="s">
        <v>361</v>
      </c>
      <c r="BJ117" s="146" t="s">
        <v>361</v>
      </c>
      <c r="BK117" s="146" t="s">
        <v>361</v>
      </c>
      <c r="BL117" s="146" t="s">
        <v>361</v>
      </c>
      <c r="BM117" s="146" t="s">
        <v>360</v>
      </c>
      <c r="BN117" s="146" t="s">
        <v>361</v>
      </c>
      <c r="BO117" s="146" t="s">
        <v>361</v>
      </c>
      <c r="BP117" s="146" t="s">
        <v>361</v>
      </c>
      <c r="BQ117" s="146" t="s">
        <v>360</v>
      </c>
      <c r="BR117" s="146" t="s">
        <v>360</v>
      </c>
      <c r="BS117" s="146" t="s">
        <v>361</v>
      </c>
      <c r="BT117" s="146" t="s">
        <v>361</v>
      </c>
      <c r="BU117" s="146" t="s">
        <v>361</v>
      </c>
      <c r="BV117" s="146" t="s">
        <v>361</v>
      </c>
      <c r="BW117" s="146" t="s">
        <v>361</v>
      </c>
      <c r="BX117" s="146" t="s">
        <v>361</v>
      </c>
      <c r="BY117" s="146" t="s">
        <v>361</v>
      </c>
      <c r="BZ117" s="149" t="s">
        <v>360</v>
      </c>
    </row>
    <row r="118" spans="1:78" s="2" customFormat="1" x14ac:dyDescent="0.25">
      <c r="A118" s="181" t="s">
        <v>234</v>
      </c>
      <c r="B118" s="146" t="s">
        <v>361</v>
      </c>
      <c r="C118" s="146" t="s">
        <v>361</v>
      </c>
      <c r="D118" s="146" t="s">
        <v>360</v>
      </c>
      <c r="E118" s="146" t="s">
        <v>361</v>
      </c>
      <c r="F118" s="146" t="s">
        <v>361</v>
      </c>
      <c r="G118" s="146" t="s">
        <v>361</v>
      </c>
      <c r="H118" s="146" t="s">
        <v>361</v>
      </c>
      <c r="I118" s="146" t="s">
        <v>361</v>
      </c>
      <c r="J118" s="149" t="s">
        <v>361</v>
      </c>
      <c r="K118" s="181" t="s">
        <v>234</v>
      </c>
      <c r="L118" s="146" t="str">
        <f>LOOKUP($K118,PantheonList!$A$18:$A$139,PantheonList!$B$18:$B$139)</f>
        <v>Awareness</v>
      </c>
      <c r="M118" s="146" t="str">
        <f>LOOKUP($K118,PantheonList!$A$18:$A$139,PantheonList!$C$18:$C$139)</f>
        <v>Brawl</v>
      </c>
      <c r="N118" s="146" t="str">
        <f>LOOKUP($K118,PantheonList!$A$18:$A$139,PantheonList!$D$18:$D$139)</f>
        <v>Fortitude</v>
      </c>
      <c r="O118" s="146" t="str">
        <f>LOOKUP($K118,PantheonList!$A$18:$A$139,PantheonList!$E$18:$E$139)</f>
        <v>Investigation</v>
      </c>
      <c r="P118" s="146" t="str">
        <f>LOOKUP($K118,PantheonList!$A$18:$A$139,PantheonList!$F$18:$F$139)</f>
        <v>Politics</v>
      </c>
      <c r="Q118" s="146" t="str">
        <f>LOOKUP($K118,PantheonList!$A$18:$A$139,PantheonList!$G$18:$G$139)</f>
        <v>Stealth</v>
      </c>
      <c r="R118" s="146" t="str">
        <f t="shared" si="22"/>
        <v>No</v>
      </c>
      <c r="S118" s="146" t="str">
        <f t="shared" si="22"/>
        <v>No</v>
      </c>
      <c r="T118" s="146" t="str">
        <f t="shared" si="22"/>
        <v>No</v>
      </c>
      <c r="U118" s="146" t="str">
        <f t="shared" si="22"/>
        <v>No</v>
      </c>
      <c r="V118" s="146" t="str">
        <f t="shared" si="22"/>
        <v>Yes</v>
      </c>
      <c r="W118" s="146" t="str">
        <f t="shared" si="22"/>
        <v>Yes</v>
      </c>
      <c r="X118" s="146" t="str">
        <f t="shared" si="22"/>
        <v>No</v>
      </c>
      <c r="Y118" s="146" t="str">
        <f t="shared" si="22"/>
        <v>No</v>
      </c>
      <c r="Z118" s="146" t="str">
        <f t="shared" si="22"/>
        <v>No</v>
      </c>
      <c r="AA118" s="146" t="str">
        <f t="shared" si="22"/>
        <v>No</v>
      </c>
      <c r="AB118" s="146" t="str">
        <f t="shared" si="23"/>
        <v>Yes</v>
      </c>
      <c r="AC118" s="146" t="str">
        <f t="shared" si="23"/>
        <v>No</v>
      </c>
      <c r="AD118" s="146" t="str">
        <f t="shared" si="23"/>
        <v>Yes</v>
      </c>
      <c r="AE118" s="146" t="str">
        <f t="shared" si="23"/>
        <v>No</v>
      </c>
      <c r="AF118" s="146" t="str">
        <f t="shared" si="23"/>
        <v>No</v>
      </c>
      <c r="AG118" s="146" t="str">
        <f t="shared" si="23"/>
        <v>No</v>
      </c>
      <c r="AH118" s="146" t="str">
        <f t="shared" si="23"/>
        <v>No</v>
      </c>
      <c r="AI118" s="146" t="str">
        <f t="shared" si="23"/>
        <v>No</v>
      </c>
      <c r="AJ118" s="146" t="str">
        <f t="shared" si="23"/>
        <v>Yes</v>
      </c>
      <c r="AK118" s="146" t="str">
        <f t="shared" si="23"/>
        <v>No</v>
      </c>
      <c r="AL118" s="146" t="str">
        <f t="shared" si="23"/>
        <v>No</v>
      </c>
      <c r="AM118" s="146" t="str">
        <f t="shared" si="23"/>
        <v>Yes</v>
      </c>
      <c r="AN118" s="146" t="str">
        <f t="shared" si="23"/>
        <v>No</v>
      </c>
      <c r="AO118" s="149" t="str">
        <f t="shared" si="23"/>
        <v>No</v>
      </c>
      <c r="AP118" s="181" t="s">
        <v>234</v>
      </c>
      <c r="AQ118" s="146">
        <v>118</v>
      </c>
      <c r="AR118" s="146" t="s">
        <v>361</v>
      </c>
      <c r="AS118" s="146" t="s">
        <v>361</v>
      </c>
      <c r="AT118" s="146" t="s">
        <v>361</v>
      </c>
      <c r="AU118" s="146" t="s">
        <v>361</v>
      </c>
      <c r="AV118" s="146" t="s">
        <v>361</v>
      </c>
      <c r="AW118" s="146" t="s">
        <v>361</v>
      </c>
      <c r="AX118" s="146" t="s">
        <v>361</v>
      </c>
      <c r="AY118" s="146" t="s">
        <v>360</v>
      </c>
      <c r="AZ118" s="146" t="s">
        <v>361</v>
      </c>
      <c r="BA118" s="146" t="s">
        <v>361</v>
      </c>
      <c r="BB118" s="146" t="s">
        <v>360</v>
      </c>
      <c r="BC118" s="146" t="s">
        <v>361</v>
      </c>
      <c r="BD118" s="146" t="s">
        <v>361</v>
      </c>
      <c r="BE118" s="146" t="s">
        <v>360</v>
      </c>
      <c r="BF118" s="146" t="s">
        <v>360</v>
      </c>
      <c r="BG118" s="146" t="s">
        <v>361</v>
      </c>
      <c r="BH118" s="146" t="s">
        <v>361</v>
      </c>
      <c r="BI118" s="146" t="s">
        <v>361</v>
      </c>
      <c r="BJ118" s="146" t="s">
        <v>360</v>
      </c>
      <c r="BK118" s="146" t="s">
        <v>361</v>
      </c>
      <c r="BL118" s="146" t="s">
        <v>361</v>
      </c>
      <c r="BM118" s="146" t="s">
        <v>361</v>
      </c>
      <c r="BN118" s="146" t="s">
        <v>361</v>
      </c>
      <c r="BO118" s="146" t="s">
        <v>361</v>
      </c>
      <c r="BP118" s="146" t="s">
        <v>361</v>
      </c>
      <c r="BQ118" s="146" t="s">
        <v>361</v>
      </c>
      <c r="BR118" s="146" t="s">
        <v>361</v>
      </c>
      <c r="BS118" s="146" t="s">
        <v>361</v>
      </c>
      <c r="BT118" s="146" t="s">
        <v>361</v>
      </c>
      <c r="BU118" s="146" t="s">
        <v>361</v>
      </c>
      <c r="BV118" s="146" t="s">
        <v>361</v>
      </c>
      <c r="BW118" s="146" t="s">
        <v>361</v>
      </c>
      <c r="BX118" s="146" t="s">
        <v>361</v>
      </c>
      <c r="BY118" s="146" t="s">
        <v>361</v>
      </c>
      <c r="BZ118" s="149" t="s">
        <v>361</v>
      </c>
    </row>
    <row r="119" spans="1:78" s="2" customFormat="1" x14ac:dyDescent="0.25">
      <c r="A119" s="181" t="s">
        <v>246</v>
      </c>
      <c r="B119" s="146" t="s">
        <v>361</v>
      </c>
      <c r="C119" s="146" t="s">
        <v>360</v>
      </c>
      <c r="D119" s="146" t="s">
        <v>360</v>
      </c>
      <c r="E119" s="146" t="s">
        <v>361</v>
      </c>
      <c r="F119" s="146" t="s">
        <v>361</v>
      </c>
      <c r="G119" s="146" t="s">
        <v>361</v>
      </c>
      <c r="H119" s="146" t="s">
        <v>361</v>
      </c>
      <c r="I119" s="146" t="s">
        <v>361</v>
      </c>
      <c r="J119" s="149" t="s">
        <v>360</v>
      </c>
      <c r="K119" s="181" t="s">
        <v>246</v>
      </c>
      <c r="L119" s="146" t="str">
        <f>LOOKUP($K119,PantheonList!$A$18:$A$139,PantheonList!$B$18:$B$139)</f>
        <v>Awareness</v>
      </c>
      <c r="M119" s="146" t="str">
        <f>LOOKUP($K119,PantheonList!$A$18:$A$139,PantheonList!$C$18:$C$139)</f>
        <v>Brawl</v>
      </c>
      <c r="N119" s="146" t="str">
        <f>LOOKUP($K119,PantheonList!$A$18:$A$139,PantheonList!$D$18:$D$139)</f>
        <v>Fortitude</v>
      </c>
      <c r="O119" s="146" t="str">
        <f>LOOKUP($K119,PantheonList!$A$18:$A$139,PantheonList!$E$18:$E$139)</f>
        <v>Investigation</v>
      </c>
      <c r="P119" s="146" t="str">
        <f>LOOKUP($K119,PantheonList!$A$18:$A$139,PantheonList!$F$18:$F$139)</f>
        <v>Politics</v>
      </c>
      <c r="Q119" s="146" t="str">
        <f>LOOKUP($K119,PantheonList!$A$18:$A$139,PantheonList!$G$18:$G$139)</f>
        <v>Stealth</v>
      </c>
      <c r="R119" s="146" t="str">
        <f t="shared" si="22"/>
        <v>No</v>
      </c>
      <c r="S119" s="146" t="str">
        <f t="shared" si="22"/>
        <v>No</v>
      </c>
      <c r="T119" s="146" t="str">
        <f t="shared" si="22"/>
        <v>No</v>
      </c>
      <c r="U119" s="146" t="str">
        <f t="shared" si="22"/>
        <v>No</v>
      </c>
      <c r="V119" s="146" t="str">
        <f t="shared" si="22"/>
        <v>Yes</v>
      </c>
      <c r="W119" s="146" t="str">
        <f t="shared" si="22"/>
        <v>Yes</v>
      </c>
      <c r="X119" s="146" t="str">
        <f t="shared" si="22"/>
        <v>No</v>
      </c>
      <c r="Y119" s="146" t="str">
        <f t="shared" si="22"/>
        <v>No</v>
      </c>
      <c r="Z119" s="146" t="str">
        <f t="shared" si="22"/>
        <v>No</v>
      </c>
      <c r="AA119" s="146" t="str">
        <f t="shared" si="22"/>
        <v>No</v>
      </c>
      <c r="AB119" s="146" t="str">
        <f t="shared" si="23"/>
        <v>Yes</v>
      </c>
      <c r="AC119" s="146" t="str">
        <f t="shared" si="23"/>
        <v>No</v>
      </c>
      <c r="AD119" s="146" t="str">
        <f t="shared" si="23"/>
        <v>Yes</v>
      </c>
      <c r="AE119" s="146" t="str">
        <f t="shared" si="23"/>
        <v>No</v>
      </c>
      <c r="AF119" s="146" t="str">
        <f t="shared" si="23"/>
        <v>No</v>
      </c>
      <c r="AG119" s="146" t="str">
        <f t="shared" si="23"/>
        <v>No</v>
      </c>
      <c r="AH119" s="146" t="str">
        <f t="shared" si="23"/>
        <v>No</v>
      </c>
      <c r="AI119" s="146" t="str">
        <f t="shared" si="23"/>
        <v>No</v>
      </c>
      <c r="AJ119" s="146" t="str">
        <f t="shared" si="23"/>
        <v>Yes</v>
      </c>
      <c r="AK119" s="146" t="str">
        <f t="shared" si="23"/>
        <v>No</v>
      </c>
      <c r="AL119" s="146" t="str">
        <f t="shared" si="23"/>
        <v>No</v>
      </c>
      <c r="AM119" s="146" t="str">
        <f t="shared" si="23"/>
        <v>Yes</v>
      </c>
      <c r="AN119" s="146" t="str">
        <f t="shared" si="23"/>
        <v>No</v>
      </c>
      <c r="AO119" s="149" t="str">
        <f t="shared" si="23"/>
        <v>No</v>
      </c>
      <c r="AP119" s="181" t="s">
        <v>246</v>
      </c>
      <c r="AQ119" s="146">
        <v>119</v>
      </c>
      <c r="AR119" s="146" t="s">
        <v>360</v>
      </c>
      <c r="AS119" s="146" t="s">
        <v>361</v>
      </c>
      <c r="AT119" s="146" t="s">
        <v>361</v>
      </c>
      <c r="AU119" s="146" t="s">
        <v>361</v>
      </c>
      <c r="AV119" s="146" t="s">
        <v>361</v>
      </c>
      <c r="AW119" s="146" t="s">
        <v>361</v>
      </c>
      <c r="AX119" s="146" t="s">
        <v>361</v>
      </c>
      <c r="AY119" s="146" t="s">
        <v>361</v>
      </c>
      <c r="AZ119" s="146" t="s">
        <v>361</v>
      </c>
      <c r="BA119" s="146" t="s">
        <v>361</v>
      </c>
      <c r="BB119" s="146" t="s">
        <v>361</v>
      </c>
      <c r="BC119" s="146" t="s">
        <v>361</v>
      </c>
      <c r="BD119" s="146" t="s">
        <v>361</v>
      </c>
      <c r="BE119" s="146" t="s">
        <v>361</v>
      </c>
      <c r="BF119" s="146" t="s">
        <v>360</v>
      </c>
      <c r="BG119" s="146" t="s">
        <v>361</v>
      </c>
      <c r="BH119" s="146" t="s">
        <v>361</v>
      </c>
      <c r="BI119" s="146" t="s">
        <v>361</v>
      </c>
      <c r="BJ119" s="146" t="s">
        <v>361</v>
      </c>
      <c r="BK119" s="146" t="s">
        <v>361</v>
      </c>
      <c r="BL119" s="146" t="s">
        <v>360</v>
      </c>
      <c r="BM119" s="146" t="s">
        <v>360</v>
      </c>
      <c r="BN119" s="146" t="s">
        <v>361</v>
      </c>
      <c r="BO119" s="146" t="s">
        <v>361</v>
      </c>
      <c r="BP119" s="146" t="s">
        <v>361</v>
      </c>
      <c r="BQ119" s="146" t="s">
        <v>361</v>
      </c>
      <c r="BR119" s="146" t="s">
        <v>361</v>
      </c>
      <c r="BS119" s="146" t="s">
        <v>361</v>
      </c>
      <c r="BT119" s="146" t="s">
        <v>361</v>
      </c>
      <c r="BU119" s="146" t="s">
        <v>361</v>
      </c>
      <c r="BV119" s="146" t="s">
        <v>361</v>
      </c>
      <c r="BW119" s="146" t="s">
        <v>360</v>
      </c>
      <c r="BX119" s="146" t="s">
        <v>361</v>
      </c>
      <c r="BY119" s="146" t="s">
        <v>361</v>
      </c>
      <c r="BZ119" s="149" t="s">
        <v>361</v>
      </c>
    </row>
    <row r="120" spans="1:78" s="2" customFormat="1" x14ac:dyDescent="0.25">
      <c r="A120" s="181" t="s">
        <v>259</v>
      </c>
      <c r="B120" s="146" t="s">
        <v>361</v>
      </c>
      <c r="C120" s="146" t="s">
        <v>361</v>
      </c>
      <c r="D120" s="146" t="s">
        <v>360</v>
      </c>
      <c r="E120" s="146" t="s">
        <v>361</v>
      </c>
      <c r="F120" s="146" t="s">
        <v>361</v>
      </c>
      <c r="G120" s="146" t="s">
        <v>361</v>
      </c>
      <c r="H120" s="146" t="s">
        <v>361</v>
      </c>
      <c r="I120" s="146" t="s">
        <v>360</v>
      </c>
      <c r="J120" s="149" t="s">
        <v>361</v>
      </c>
      <c r="K120" s="181" t="s">
        <v>259</v>
      </c>
      <c r="L120" s="146" t="str">
        <f>LOOKUP($K120,PantheonList!$A$18:$A$139,PantheonList!$B$18:$B$139)</f>
        <v>Awareness</v>
      </c>
      <c r="M120" s="146" t="str">
        <f>LOOKUP($K120,PantheonList!$A$18:$A$139,PantheonList!$C$18:$C$139)</f>
        <v>Brawl</v>
      </c>
      <c r="N120" s="146" t="str">
        <f>LOOKUP($K120,PantheonList!$A$18:$A$139,PantheonList!$D$18:$D$139)</f>
        <v>Fortitude</v>
      </c>
      <c r="O120" s="146" t="str">
        <f>LOOKUP($K120,PantheonList!$A$18:$A$139,PantheonList!$E$18:$E$139)</f>
        <v>Investigation</v>
      </c>
      <c r="P120" s="146" t="str">
        <f>LOOKUP($K120,PantheonList!$A$18:$A$139,PantheonList!$F$18:$F$139)</f>
        <v>Politics</v>
      </c>
      <c r="Q120" s="146" t="str">
        <f>LOOKUP($K120,PantheonList!$A$18:$A$139,PantheonList!$G$18:$G$139)</f>
        <v>Stealth</v>
      </c>
      <c r="R120" s="146" t="str">
        <f t="shared" si="22"/>
        <v>No</v>
      </c>
      <c r="S120" s="146" t="str">
        <f t="shared" si="22"/>
        <v>No</v>
      </c>
      <c r="T120" s="146" t="str">
        <f t="shared" si="22"/>
        <v>No</v>
      </c>
      <c r="U120" s="146" t="str">
        <f t="shared" si="22"/>
        <v>No</v>
      </c>
      <c r="V120" s="146" t="str">
        <f t="shared" si="22"/>
        <v>Yes</v>
      </c>
      <c r="W120" s="146" t="str">
        <f t="shared" si="22"/>
        <v>Yes</v>
      </c>
      <c r="X120" s="146" t="str">
        <f t="shared" si="22"/>
        <v>No</v>
      </c>
      <c r="Y120" s="146" t="str">
        <f t="shared" si="22"/>
        <v>No</v>
      </c>
      <c r="Z120" s="146" t="str">
        <f t="shared" si="22"/>
        <v>No</v>
      </c>
      <c r="AA120" s="146" t="str">
        <f t="shared" si="22"/>
        <v>No</v>
      </c>
      <c r="AB120" s="146" t="str">
        <f t="shared" si="23"/>
        <v>Yes</v>
      </c>
      <c r="AC120" s="146" t="str">
        <f t="shared" si="23"/>
        <v>No</v>
      </c>
      <c r="AD120" s="146" t="str">
        <f t="shared" si="23"/>
        <v>Yes</v>
      </c>
      <c r="AE120" s="146" t="str">
        <f t="shared" si="23"/>
        <v>No</v>
      </c>
      <c r="AF120" s="146" t="str">
        <f t="shared" si="23"/>
        <v>No</v>
      </c>
      <c r="AG120" s="146" t="str">
        <f t="shared" si="23"/>
        <v>No</v>
      </c>
      <c r="AH120" s="146" t="str">
        <f t="shared" si="23"/>
        <v>No</v>
      </c>
      <c r="AI120" s="146" t="str">
        <f t="shared" si="23"/>
        <v>No</v>
      </c>
      <c r="AJ120" s="146" t="str">
        <f t="shared" si="23"/>
        <v>Yes</v>
      </c>
      <c r="AK120" s="146" t="str">
        <f t="shared" si="23"/>
        <v>No</v>
      </c>
      <c r="AL120" s="146" t="str">
        <f t="shared" si="23"/>
        <v>No</v>
      </c>
      <c r="AM120" s="146" t="str">
        <f t="shared" si="23"/>
        <v>Yes</v>
      </c>
      <c r="AN120" s="146" t="str">
        <f t="shared" si="23"/>
        <v>No</v>
      </c>
      <c r="AO120" s="149" t="str">
        <f t="shared" si="23"/>
        <v>No</v>
      </c>
      <c r="AP120" s="181" t="s">
        <v>259</v>
      </c>
      <c r="AQ120" s="146">
        <v>120</v>
      </c>
      <c r="AR120" s="146" t="s">
        <v>361</v>
      </c>
      <c r="AS120" s="146" t="s">
        <v>361</v>
      </c>
      <c r="AT120" s="146" t="s">
        <v>361</v>
      </c>
      <c r="AU120" s="146" t="s">
        <v>361</v>
      </c>
      <c r="AV120" s="146" t="s">
        <v>361</v>
      </c>
      <c r="AW120" s="146" t="s">
        <v>361</v>
      </c>
      <c r="AX120" s="146" t="s">
        <v>361</v>
      </c>
      <c r="AY120" s="146" t="s">
        <v>360</v>
      </c>
      <c r="AZ120" s="146" t="s">
        <v>360</v>
      </c>
      <c r="BA120" s="146" t="s">
        <v>361</v>
      </c>
      <c r="BB120" s="146" t="s">
        <v>361</v>
      </c>
      <c r="BC120" s="146" t="s">
        <v>361</v>
      </c>
      <c r="BD120" s="146" t="s">
        <v>361</v>
      </c>
      <c r="BE120" s="146" t="s">
        <v>361</v>
      </c>
      <c r="BF120" s="146" t="s">
        <v>361</v>
      </c>
      <c r="BG120" s="146" t="s">
        <v>361</v>
      </c>
      <c r="BH120" s="146" t="s">
        <v>361</v>
      </c>
      <c r="BI120" s="146" t="s">
        <v>361</v>
      </c>
      <c r="BJ120" s="146" t="s">
        <v>361</v>
      </c>
      <c r="BK120" s="146" t="s">
        <v>361</v>
      </c>
      <c r="BL120" s="146" t="s">
        <v>360</v>
      </c>
      <c r="BM120" s="146" t="s">
        <v>361</v>
      </c>
      <c r="BN120" s="146" t="s">
        <v>361</v>
      </c>
      <c r="BO120" s="146" t="s">
        <v>361</v>
      </c>
      <c r="BP120" s="146" t="s">
        <v>361</v>
      </c>
      <c r="BQ120" s="146" t="s">
        <v>360</v>
      </c>
      <c r="BR120" s="146" t="s">
        <v>360</v>
      </c>
      <c r="BS120" s="146" t="s">
        <v>361</v>
      </c>
      <c r="BT120" s="146" t="s">
        <v>361</v>
      </c>
      <c r="BU120" s="146" t="s">
        <v>361</v>
      </c>
      <c r="BV120" s="146" t="s">
        <v>361</v>
      </c>
      <c r="BW120" s="146" t="s">
        <v>361</v>
      </c>
      <c r="BX120" s="146" t="s">
        <v>361</v>
      </c>
      <c r="BY120" s="146" t="s">
        <v>361</v>
      </c>
      <c r="BZ120" s="149" t="s">
        <v>361</v>
      </c>
    </row>
    <row r="121" spans="1:78" s="2" customFormat="1" x14ac:dyDescent="0.25">
      <c r="A121" s="181" t="s">
        <v>247</v>
      </c>
      <c r="B121" s="146" t="s">
        <v>361</v>
      </c>
      <c r="C121" s="146" t="s">
        <v>361</v>
      </c>
      <c r="D121" s="146" t="s">
        <v>361</v>
      </c>
      <c r="E121" s="146" t="s">
        <v>361</v>
      </c>
      <c r="F121" s="146" t="s">
        <v>360</v>
      </c>
      <c r="G121" s="146" t="s">
        <v>361</v>
      </c>
      <c r="H121" s="146" t="s">
        <v>360</v>
      </c>
      <c r="I121" s="146" t="s">
        <v>361</v>
      </c>
      <c r="J121" s="149" t="s">
        <v>361</v>
      </c>
      <c r="K121" s="181" t="s">
        <v>247</v>
      </c>
      <c r="L121" s="146" t="str">
        <f>LOOKUP($K121,PantheonList!$A$18:$A$139,PantheonList!$B$18:$B$139)</f>
        <v>Awareness</v>
      </c>
      <c r="M121" s="146" t="str">
        <f>LOOKUP($K121,PantheonList!$A$18:$A$139,PantheonList!$C$18:$C$139)</f>
        <v>Brawl</v>
      </c>
      <c r="N121" s="146" t="str">
        <f>LOOKUP($K121,PantheonList!$A$18:$A$139,PantheonList!$D$18:$D$139)</f>
        <v>Fortitude</v>
      </c>
      <c r="O121" s="146" t="str">
        <f>LOOKUP($K121,PantheonList!$A$18:$A$139,PantheonList!$E$18:$E$139)</f>
        <v>Investigation</v>
      </c>
      <c r="P121" s="146" t="str">
        <f>LOOKUP($K121,PantheonList!$A$18:$A$139,PantheonList!$F$18:$F$139)</f>
        <v>Politics</v>
      </c>
      <c r="Q121" s="146" t="str">
        <f>LOOKUP($K121,PantheonList!$A$18:$A$139,PantheonList!$G$18:$G$139)</f>
        <v>Stealth</v>
      </c>
      <c r="R121" s="146" t="str">
        <f t="shared" si="22"/>
        <v>No</v>
      </c>
      <c r="S121" s="146" t="str">
        <f t="shared" si="22"/>
        <v>No</v>
      </c>
      <c r="T121" s="146" t="str">
        <f t="shared" si="22"/>
        <v>No</v>
      </c>
      <c r="U121" s="146" t="str">
        <f t="shared" si="22"/>
        <v>No</v>
      </c>
      <c r="V121" s="146" t="str">
        <f t="shared" si="22"/>
        <v>Yes</v>
      </c>
      <c r="W121" s="146" t="str">
        <f t="shared" si="22"/>
        <v>Yes</v>
      </c>
      <c r="X121" s="146" t="str">
        <f t="shared" si="22"/>
        <v>No</v>
      </c>
      <c r="Y121" s="146" t="str">
        <f t="shared" si="22"/>
        <v>No</v>
      </c>
      <c r="Z121" s="146" t="str">
        <f t="shared" si="22"/>
        <v>No</v>
      </c>
      <c r="AA121" s="146" t="str">
        <f t="shared" si="22"/>
        <v>No</v>
      </c>
      <c r="AB121" s="146" t="str">
        <f t="shared" si="23"/>
        <v>Yes</v>
      </c>
      <c r="AC121" s="146" t="str">
        <f t="shared" si="23"/>
        <v>No</v>
      </c>
      <c r="AD121" s="146" t="str">
        <f t="shared" si="23"/>
        <v>Yes</v>
      </c>
      <c r="AE121" s="146" t="str">
        <f t="shared" si="23"/>
        <v>No</v>
      </c>
      <c r="AF121" s="146" t="str">
        <f t="shared" si="23"/>
        <v>No</v>
      </c>
      <c r="AG121" s="146" t="str">
        <f t="shared" si="23"/>
        <v>No</v>
      </c>
      <c r="AH121" s="146" t="str">
        <f t="shared" si="23"/>
        <v>No</v>
      </c>
      <c r="AI121" s="146" t="str">
        <f t="shared" si="23"/>
        <v>No</v>
      </c>
      <c r="AJ121" s="146" t="str">
        <f t="shared" si="23"/>
        <v>Yes</v>
      </c>
      <c r="AK121" s="146" t="str">
        <f t="shared" si="23"/>
        <v>No</v>
      </c>
      <c r="AL121" s="146" t="str">
        <f t="shared" si="23"/>
        <v>No</v>
      </c>
      <c r="AM121" s="146" t="str">
        <f t="shared" si="23"/>
        <v>Yes</v>
      </c>
      <c r="AN121" s="146" t="str">
        <f t="shared" si="23"/>
        <v>No</v>
      </c>
      <c r="AO121" s="149" t="str">
        <f t="shared" si="23"/>
        <v>No</v>
      </c>
      <c r="AP121" s="181" t="s">
        <v>247</v>
      </c>
      <c r="AQ121" s="146">
        <v>121</v>
      </c>
      <c r="AR121" s="146" t="s">
        <v>361</v>
      </c>
      <c r="AS121" s="146" t="s">
        <v>361</v>
      </c>
      <c r="AT121" s="146" t="s">
        <v>361</v>
      </c>
      <c r="AU121" s="146" t="s">
        <v>361</v>
      </c>
      <c r="AV121" s="146" t="s">
        <v>361</v>
      </c>
      <c r="AW121" s="146" t="s">
        <v>361</v>
      </c>
      <c r="AX121" s="146" t="s">
        <v>360</v>
      </c>
      <c r="AY121" s="146" t="s">
        <v>360</v>
      </c>
      <c r="AZ121" s="146" t="s">
        <v>361</v>
      </c>
      <c r="BA121" s="146" t="s">
        <v>361</v>
      </c>
      <c r="BB121" s="146" t="s">
        <v>361</v>
      </c>
      <c r="BC121" s="146" t="s">
        <v>361</v>
      </c>
      <c r="BD121" s="146" t="s">
        <v>361</v>
      </c>
      <c r="BE121" s="146" t="s">
        <v>361</v>
      </c>
      <c r="BF121" s="146" t="s">
        <v>361</v>
      </c>
      <c r="BG121" s="146" t="s">
        <v>361</v>
      </c>
      <c r="BH121" s="146" t="s">
        <v>361</v>
      </c>
      <c r="BI121" s="146" t="s">
        <v>361</v>
      </c>
      <c r="BJ121" s="146" t="s">
        <v>361</v>
      </c>
      <c r="BK121" s="146" t="s">
        <v>361</v>
      </c>
      <c r="BL121" s="146" t="s">
        <v>360</v>
      </c>
      <c r="BM121" s="146" t="s">
        <v>361</v>
      </c>
      <c r="BN121" s="146" t="s">
        <v>361</v>
      </c>
      <c r="BO121" s="146" t="s">
        <v>361</v>
      </c>
      <c r="BP121" s="146" t="s">
        <v>361</v>
      </c>
      <c r="BQ121" s="146" t="s">
        <v>361</v>
      </c>
      <c r="BR121" s="146" t="s">
        <v>361</v>
      </c>
      <c r="BS121" s="146" t="s">
        <v>361</v>
      </c>
      <c r="BT121" s="146" t="s">
        <v>361</v>
      </c>
      <c r="BU121" s="146" t="s">
        <v>361</v>
      </c>
      <c r="BV121" s="146" t="s">
        <v>361</v>
      </c>
      <c r="BW121" s="146" t="s">
        <v>360</v>
      </c>
      <c r="BX121" s="146" t="s">
        <v>361</v>
      </c>
      <c r="BY121" s="146" t="s">
        <v>361</v>
      </c>
      <c r="BZ121" s="149" t="s">
        <v>361</v>
      </c>
    </row>
    <row r="122" spans="1:78" s="2" customFormat="1" x14ac:dyDescent="0.25">
      <c r="A122" s="181" t="s">
        <v>313</v>
      </c>
      <c r="B122" s="146" t="s">
        <v>361</v>
      </c>
      <c r="C122" s="146" t="s">
        <v>361</v>
      </c>
      <c r="D122" s="146" t="s">
        <v>360</v>
      </c>
      <c r="E122" s="146" t="s">
        <v>361</v>
      </c>
      <c r="F122" s="146" t="s">
        <v>361</v>
      </c>
      <c r="G122" s="146" t="s">
        <v>361</v>
      </c>
      <c r="H122" s="146" t="s">
        <v>361</v>
      </c>
      <c r="I122" s="146" t="s">
        <v>361</v>
      </c>
      <c r="J122" s="149" t="s">
        <v>361</v>
      </c>
      <c r="K122" s="181" t="s">
        <v>313</v>
      </c>
      <c r="L122" s="146" t="str">
        <f>LOOKUP($K122,PantheonList!$A$18:$A$139,PantheonList!$B$18:$B$139)</f>
        <v>Awareness</v>
      </c>
      <c r="M122" s="146" t="str">
        <f>LOOKUP($K122,PantheonList!$A$18:$A$139,PantheonList!$C$18:$C$139)</f>
        <v>Brawl</v>
      </c>
      <c r="N122" s="146" t="str">
        <f>LOOKUP($K122,PantheonList!$A$18:$A$139,PantheonList!$D$18:$D$139)</f>
        <v>Fortitude</v>
      </c>
      <c r="O122" s="146" t="str">
        <f>LOOKUP($K122,PantheonList!$A$18:$A$139,PantheonList!$E$18:$E$139)</f>
        <v>Investigation</v>
      </c>
      <c r="P122" s="146" t="str">
        <f>LOOKUP($K122,PantheonList!$A$18:$A$139,PantheonList!$F$18:$F$139)</f>
        <v>Politics</v>
      </c>
      <c r="Q122" s="146" t="str">
        <f>LOOKUP($K122,PantheonList!$A$18:$A$139,PantheonList!$G$18:$G$139)</f>
        <v>Stealth</v>
      </c>
      <c r="R122" s="146" t="str">
        <f t="shared" si="22"/>
        <v>No</v>
      </c>
      <c r="S122" s="146" t="str">
        <f t="shared" si="22"/>
        <v>No</v>
      </c>
      <c r="T122" s="146" t="str">
        <f t="shared" si="22"/>
        <v>No</v>
      </c>
      <c r="U122" s="146" t="str">
        <f t="shared" si="22"/>
        <v>No</v>
      </c>
      <c r="V122" s="146" t="str">
        <f t="shared" si="22"/>
        <v>Yes</v>
      </c>
      <c r="W122" s="146" t="str">
        <f t="shared" si="22"/>
        <v>Yes</v>
      </c>
      <c r="X122" s="146" t="str">
        <f t="shared" si="22"/>
        <v>No</v>
      </c>
      <c r="Y122" s="146" t="str">
        <f t="shared" si="22"/>
        <v>No</v>
      </c>
      <c r="Z122" s="146" t="str">
        <f t="shared" si="22"/>
        <v>No</v>
      </c>
      <c r="AA122" s="146" t="str">
        <f t="shared" si="22"/>
        <v>No</v>
      </c>
      <c r="AB122" s="146" t="str">
        <f t="shared" si="23"/>
        <v>Yes</v>
      </c>
      <c r="AC122" s="146" t="str">
        <f t="shared" si="23"/>
        <v>No</v>
      </c>
      <c r="AD122" s="146" t="str">
        <f t="shared" si="23"/>
        <v>Yes</v>
      </c>
      <c r="AE122" s="146" t="str">
        <f t="shared" si="23"/>
        <v>No</v>
      </c>
      <c r="AF122" s="146" t="str">
        <f t="shared" si="23"/>
        <v>No</v>
      </c>
      <c r="AG122" s="146" t="str">
        <f t="shared" si="23"/>
        <v>No</v>
      </c>
      <c r="AH122" s="146" t="str">
        <f t="shared" si="23"/>
        <v>No</v>
      </c>
      <c r="AI122" s="146" t="str">
        <f t="shared" si="23"/>
        <v>No</v>
      </c>
      <c r="AJ122" s="146" t="str">
        <f t="shared" si="23"/>
        <v>Yes</v>
      </c>
      <c r="AK122" s="146" t="str">
        <f t="shared" si="23"/>
        <v>No</v>
      </c>
      <c r="AL122" s="146" t="str">
        <f t="shared" si="23"/>
        <v>No</v>
      </c>
      <c r="AM122" s="146" t="str">
        <f t="shared" si="23"/>
        <v>Yes</v>
      </c>
      <c r="AN122" s="146" t="str">
        <f t="shared" si="23"/>
        <v>No</v>
      </c>
      <c r="AO122" s="149" t="str">
        <f t="shared" si="23"/>
        <v>No</v>
      </c>
      <c r="AP122" s="181" t="s">
        <v>313</v>
      </c>
      <c r="AQ122" s="146">
        <v>122</v>
      </c>
      <c r="AR122" s="146" t="s">
        <v>361</v>
      </c>
      <c r="AS122" s="146" t="s">
        <v>361</v>
      </c>
      <c r="AT122" s="146" t="s">
        <v>360</v>
      </c>
      <c r="AU122" s="146" t="s">
        <v>361</v>
      </c>
      <c r="AV122" s="146" t="s">
        <v>361</v>
      </c>
      <c r="AW122" s="146" t="s">
        <v>361</v>
      </c>
      <c r="AX122" s="146" t="s">
        <v>361</v>
      </c>
      <c r="AY122" s="146" t="s">
        <v>361</v>
      </c>
      <c r="AZ122" s="146" t="s">
        <v>360</v>
      </c>
      <c r="BA122" s="146" t="s">
        <v>361</v>
      </c>
      <c r="BB122" s="146" t="s">
        <v>361</v>
      </c>
      <c r="BC122" s="146" t="s">
        <v>361</v>
      </c>
      <c r="BD122" s="146" t="s">
        <v>361</v>
      </c>
      <c r="BE122" s="146" t="s">
        <v>361</v>
      </c>
      <c r="BF122" s="146" t="s">
        <v>361</v>
      </c>
      <c r="BG122" s="146" t="s">
        <v>361</v>
      </c>
      <c r="BH122" s="146" t="s">
        <v>361</v>
      </c>
      <c r="BI122" s="146" t="s">
        <v>361</v>
      </c>
      <c r="BJ122" s="146" t="s">
        <v>361</v>
      </c>
      <c r="BK122" s="146" t="s">
        <v>361</v>
      </c>
      <c r="BL122" s="146" t="s">
        <v>361</v>
      </c>
      <c r="BM122" s="146" t="s">
        <v>361</v>
      </c>
      <c r="BN122" s="146" t="s">
        <v>361</v>
      </c>
      <c r="BO122" s="146" t="s">
        <v>360</v>
      </c>
      <c r="BP122" s="146" t="s">
        <v>361</v>
      </c>
      <c r="BQ122" s="146" t="s">
        <v>361</v>
      </c>
      <c r="BR122" s="146" t="s">
        <v>361</v>
      </c>
      <c r="BS122" s="146" t="s">
        <v>361</v>
      </c>
      <c r="BT122" s="146" t="s">
        <v>361</v>
      </c>
      <c r="BU122" s="146" t="s">
        <v>361</v>
      </c>
      <c r="BV122" s="146" t="s">
        <v>361</v>
      </c>
      <c r="BW122" s="146" t="s">
        <v>361</v>
      </c>
      <c r="BX122" s="146" t="s">
        <v>361</v>
      </c>
      <c r="BY122" s="146" t="s">
        <v>361</v>
      </c>
      <c r="BZ122" s="149" t="s">
        <v>361</v>
      </c>
    </row>
    <row r="123" spans="1:78" s="2" customFormat="1" x14ac:dyDescent="0.25">
      <c r="A123" s="181" t="s">
        <v>274</v>
      </c>
      <c r="B123" s="146" t="s">
        <v>360</v>
      </c>
      <c r="C123" s="146" t="s">
        <v>361</v>
      </c>
      <c r="D123" s="146" t="s">
        <v>361</v>
      </c>
      <c r="E123" s="146" t="s">
        <v>360</v>
      </c>
      <c r="F123" s="146" t="s">
        <v>360</v>
      </c>
      <c r="G123" s="146" t="s">
        <v>361</v>
      </c>
      <c r="H123" s="146" t="s">
        <v>361</v>
      </c>
      <c r="I123" s="146" t="s">
        <v>361</v>
      </c>
      <c r="J123" s="149" t="s">
        <v>361</v>
      </c>
      <c r="K123" s="181" t="s">
        <v>274</v>
      </c>
      <c r="L123" s="146" t="str">
        <f>LOOKUP($K123,PantheonList!$A$18:$A$139,PantheonList!$B$18:$B$139)</f>
        <v>Awareness</v>
      </c>
      <c r="M123" s="146" t="str">
        <f>LOOKUP($K123,PantheonList!$A$18:$A$139,PantheonList!$C$18:$C$139)</f>
        <v>Brawl</v>
      </c>
      <c r="N123" s="146" t="str">
        <f>LOOKUP($K123,PantheonList!$A$18:$A$139,PantheonList!$D$18:$D$139)</f>
        <v>Fortitude</v>
      </c>
      <c r="O123" s="146" t="str">
        <f>LOOKUP($K123,PantheonList!$A$18:$A$139,PantheonList!$E$18:$E$139)</f>
        <v>Investigation</v>
      </c>
      <c r="P123" s="146" t="str">
        <f>LOOKUP($K123,PantheonList!$A$18:$A$139,PantheonList!$F$18:$F$139)</f>
        <v>Politics</v>
      </c>
      <c r="Q123" s="146" t="str">
        <f>LOOKUP($K123,PantheonList!$A$18:$A$139,PantheonList!$G$18:$G$139)</f>
        <v>Stealth</v>
      </c>
      <c r="R123" s="146" t="str">
        <f t="shared" si="22"/>
        <v>No</v>
      </c>
      <c r="S123" s="146" t="str">
        <f t="shared" si="22"/>
        <v>No</v>
      </c>
      <c r="T123" s="146" t="str">
        <f t="shared" si="22"/>
        <v>No</v>
      </c>
      <c r="U123" s="146" t="str">
        <f t="shared" si="22"/>
        <v>No</v>
      </c>
      <c r="V123" s="146" t="str">
        <f t="shared" si="22"/>
        <v>Yes</v>
      </c>
      <c r="W123" s="146" t="str">
        <f t="shared" si="22"/>
        <v>Yes</v>
      </c>
      <c r="X123" s="146" t="str">
        <f t="shared" si="22"/>
        <v>No</v>
      </c>
      <c r="Y123" s="146" t="str">
        <f t="shared" si="22"/>
        <v>No</v>
      </c>
      <c r="Z123" s="146" t="str">
        <f t="shared" si="22"/>
        <v>No</v>
      </c>
      <c r="AA123" s="146" t="str">
        <f t="shared" si="22"/>
        <v>No</v>
      </c>
      <c r="AB123" s="146" t="str">
        <f t="shared" si="23"/>
        <v>Yes</v>
      </c>
      <c r="AC123" s="146" t="str">
        <f t="shared" si="23"/>
        <v>No</v>
      </c>
      <c r="AD123" s="146" t="str">
        <f t="shared" si="23"/>
        <v>Yes</v>
      </c>
      <c r="AE123" s="146" t="str">
        <f t="shared" si="23"/>
        <v>No</v>
      </c>
      <c r="AF123" s="146" t="str">
        <f t="shared" si="23"/>
        <v>No</v>
      </c>
      <c r="AG123" s="146" t="str">
        <f t="shared" si="23"/>
        <v>No</v>
      </c>
      <c r="AH123" s="146" t="str">
        <f t="shared" si="23"/>
        <v>No</v>
      </c>
      <c r="AI123" s="146" t="str">
        <f t="shared" si="23"/>
        <v>No</v>
      </c>
      <c r="AJ123" s="146" t="str">
        <f t="shared" si="23"/>
        <v>Yes</v>
      </c>
      <c r="AK123" s="146" t="str">
        <f t="shared" si="23"/>
        <v>No</v>
      </c>
      <c r="AL123" s="146" t="str">
        <f t="shared" si="23"/>
        <v>No</v>
      </c>
      <c r="AM123" s="146" t="str">
        <f t="shared" si="23"/>
        <v>Yes</v>
      </c>
      <c r="AN123" s="146" t="str">
        <f t="shared" si="23"/>
        <v>No</v>
      </c>
      <c r="AO123" s="149" t="str">
        <f t="shared" si="23"/>
        <v>No</v>
      </c>
      <c r="AP123" s="181" t="s">
        <v>274</v>
      </c>
      <c r="AQ123" s="146">
        <v>123</v>
      </c>
      <c r="AR123" s="146" t="s">
        <v>361</v>
      </c>
      <c r="AS123" s="146" t="s">
        <v>360</v>
      </c>
      <c r="AT123" s="146" t="s">
        <v>361</v>
      </c>
      <c r="AU123" s="146" t="s">
        <v>361</v>
      </c>
      <c r="AV123" s="146" t="s">
        <v>361</v>
      </c>
      <c r="AW123" s="146" t="s">
        <v>361</v>
      </c>
      <c r="AX123" s="146" t="s">
        <v>361</v>
      </c>
      <c r="AY123" s="146" t="s">
        <v>361</v>
      </c>
      <c r="AZ123" s="146" t="s">
        <v>361</v>
      </c>
      <c r="BA123" s="146" t="s">
        <v>361</v>
      </c>
      <c r="BB123" s="146" t="s">
        <v>361</v>
      </c>
      <c r="BC123" s="146" t="s">
        <v>361</v>
      </c>
      <c r="BD123" s="146" t="s">
        <v>361</v>
      </c>
      <c r="BE123" s="146" t="s">
        <v>361</v>
      </c>
      <c r="BF123" s="146" t="s">
        <v>361</v>
      </c>
      <c r="BG123" s="146" t="s">
        <v>361</v>
      </c>
      <c r="BH123" s="146" t="s">
        <v>361</v>
      </c>
      <c r="BI123" s="146" t="s">
        <v>361</v>
      </c>
      <c r="BJ123" s="146" t="s">
        <v>361</v>
      </c>
      <c r="BK123" s="146" t="s">
        <v>361</v>
      </c>
      <c r="BL123" s="146" t="s">
        <v>360</v>
      </c>
      <c r="BM123" s="146" t="s">
        <v>361</v>
      </c>
      <c r="BN123" s="146" t="s">
        <v>361</v>
      </c>
      <c r="BO123" s="146" t="s">
        <v>361</v>
      </c>
      <c r="BP123" s="146" t="s">
        <v>361</v>
      </c>
      <c r="BQ123" s="146" t="s">
        <v>361</v>
      </c>
      <c r="BR123" s="146" t="s">
        <v>361</v>
      </c>
      <c r="BS123" s="146" t="s">
        <v>361</v>
      </c>
      <c r="BT123" s="146" t="s">
        <v>360</v>
      </c>
      <c r="BU123" s="146" t="s">
        <v>361</v>
      </c>
      <c r="BV123" s="146" t="s">
        <v>361</v>
      </c>
      <c r="BW123" s="146" t="s">
        <v>361</v>
      </c>
      <c r="BX123" s="146" t="s">
        <v>361</v>
      </c>
      <c r="BY123" s="146" t="s">
        <v>361</v>
      </c>
      <c r="BZ123" s="149" t="s">
        <v>361</v>
      </c>
    </row>
    <row r="124" spans="1:78" x14ac:dyDescent="0.25">
      <c r="A124" s="181" t="s">
        <v>1359</v>
      </c>
      <c r="B124" s="146" t="s">
        <v>361</v>
      </c>
      <c r="C124" s="146" t="s">
        <v>361</v>
      </c>
      <c r="D124" s="146" t="s">
        <v>360</v>
      </c>
      <c r="E124" s="146" t="s">
        <v>360</v>
      </c>
      <c r="F124" s="146" t="s">
        <v>361</v>
      </c>
      <c r="G124" s="146" t="s">
        <v>361</v>
      </c>
      <c r="H124" s="146" t="s">
        <v>361</v>
      </c>
      <c r="I124" s="146" t="s">
        <v>360</v>
      </c>
      <c r="J124" s="149" t="s">
        <v>361</v>
      </c>
      <c r="K124" s="181" t="s">
        <v>1359</v>
      </c>
      <c r="L124" s="146" t="s">
        <v>41</v>
      </c>
      <c r="M124" s="146" t="s">
        <v>43</v>
      </c>
      <c r="N124" s="146" t="s">
        <v>47</v>
      </c>
      <c r="O124" s="146" t="s">
        <v>51</v>
      </c>
      <c r="P124" s="146" t="s">
        <v>58</v>
      </c>
      <c r="Q124" s="146" t="s">
        <v>53</v>
      </c>
      <c r="R124" s="146" t="s">
        <v>361</v>
      </c>
      <c r="S124" s="146" t="s">
        <v>361</v>
      </c>
      <c r="T124" s="146" t="s">
        <v>361</v>
      </c>
      <c r="U124" s="146" t="s">
        <v>361</v>
      </c>
      <c r="V124" s="146" t="s">
        <v>361</v>
      </c>
      <c r="W124" s="146" t="s">
        <v>361</v>
      </c>
      <c r="X124" s="146" t="s">
        <v>361</v>
      </c>
      <c r="Y124" s="146" t="s">
        <v>361</v>
      </c>
      <c r="Z124" s="146" t="s">
        <v>361</v>
      </c>
      <c r="AA124" s="146" t="s">
        <v>360</v>
      </c>
      <c r="AB124" s="146" t="s">
        <v>361</v>
      </c>
      <c r="AC124" s="146" t="s">
        <v>360</v>
      </c>
      <c r="AD124" s="146" t="s">
        <v>361</v>
      </c>
      <c r="AE124" s="146" t="s">
        <v>361</v>
      </c>
      <c r="AF124" s="146" t="s">
        <v>361</v>
      </c>
      <c r="AG124" s="146" t="s">
        <v>360</v>
      </c>
      <c r="AH124" s="146" t="s">
        <v>361</v>
      </c>
      <c r="AI124" s="146" t="s">
        <v>361</v>
      </c>
      <c r="AJ124" s="146"/>
      <c r="AK124" s="146" t="s">
        <v>360</v>
      </c>
      <c r="AL124" s="146" t="s">
        <v>360</v>
      </c>
      <c r="AM124" s="146" t="s">
        <v>361</v>
      </c>
      <c r="AN124" s="146" t="s">
        <v>360</v>
      </c>
      <c r="AO124" s="149" t="s">
        <v>361</v>
      </c>
      <c r="AP124" s="181" t="s">
        <v>1359</v>
      </c>
      <c r="AQ124" s="146">
        <v>124</v>
      </c>
      <c r="AR124" s="146" t="s">
        <v>361</v>
      </c>
      <c r="AS124" s="146" t="s">
        <v>361</v>
      </c>
      <c r="AT124" s="146" t="s">
        <v>361</v>
      </c>
      <c r="AU124" s="146" t="s">
        <v>361</v>
      </c>
      <c r="AV124" s="146" t="s">
        <v>361</v>
      </c>
      <c r="AW124" s="146" t="s">
        <v>361</v>
      </c>
      <c r="AX124" s="146" t="s">
        <v>361</v>
      </c>
      <c r="AY124" s="146" t="s">
        <v>361</v>
      </c>
      <c r="AZ124" s="146" t="s">
        <v>360</v>
      </c>
      <c r="BA124" s="146" t="s">
        <v>361</v>
      </c>
      <c r="BB124" s="146" t="s">
        <v>361</v>
      </c>
      <c r="BC124" s="146" t="s">
        <v>361</v>
      </c>
      <c r="BD124" s="146" t="s">
        <v>361</v>
      </c>
      <c r="BE124" s="146" t="s">
        <v>360</v>
      </c>
      <c r="BF124" s="146" t="s">
        <v>360</v>
      </c>
      <c r="BG124" s="146" t="s">
        <v>361</v>
      </c>
      <c r="BH124" s="146" t="s">
        <v>361</v>
      </c>
      <c r="BI124" s="146" t="s">
        <v>361</v>
      </c>
      <c r="BJ124" s="146" t="s">
        <v>361</v>
      </c>
      <c r="BK124" s="146" t="s">
        <v>361</v>
      </c>
      <c r="BL124" s="146" t="s">
        <v>361</v>
      </c>
      <c r="BM124" s="146" t="s">
        <v>361</v>
      </c>
      <c r="BN124" s="146" t="s">
        <v>361</v>
      </c>
      <c r="BO124" s="146" t="s">
        <v>361</v>
      </c>
      <c r="BP124" s="146" t="s">
        <v>361</v>
      </c>
      <c r="BQ124" s="146" t="s">
        <v>361</v>
      </c>
      <c r="BR124" s="146" t="s">
        <v>361</v>
      </c>
      <c r="BS124" s="146" t="s">
        <v>360</v>
      </c>
      <c r="BT124" s="146" t="s">
        <v>361</v>
      </c>
      <c r="BU124" s="146" t="s">
        <v>361</v>
      </c>
      <c r="BV124" s="146" t="s">
        <v>361</v>
      </c>
      <c r="BW124" s="146" t="s">
        <v>361</v>
      </c>
      <c r="BX124" s="146" t="s">
        <v>361</v>
      </c>
      <c r="BY124" s="146" t="s">
        <v>360</v>
      </c>
      <c r="BZ124" s="149" t="s">
        <v>361</v>
      </c>
    </row>
    <row r="125" spans="1:78" x14ac:dyDescent="0.25">
      <c r="A125" s="181" t="s">
        <v>1360</v>
      </c>
      <c r="B125" s="146" t="s">
        <v>361</v>
      </c>
      <c r="C125" s="146" t="s">
        <v>361</v>
      </c>
      <c r="D125" s="146" t="s">
        <v>360</v>
      </c>
      <c r="E125" s="146" t="s">
        <v>361</v>
      </c>
      <c r="F125" s="146" t="s">
        <v>361</v>
      </c>
      <c r="G125" s="146" t="s">
        <v>361</v>
      </c>
      <c r="H125" s="146" t="s">
        <v>361</v>
      </c>
      <c r="I125" s="146" t="s">
        <v>360</v>
      </c>
      <c r="J125" s="149" t="s">
        <v>361</v>
      </c>
      <c r="K125" s="181" t="s">
        <v>1360</v>
      </c>
      <c r="L125" s="146" t="s">
        <v>35</v>
      </c>
      <c r="M125" s="146" t="s">
        <v>38</v>
      </c>
      <c r="N125" s="146" t="s">
        <v>56</v>
      </c>
      <c r="O125" s="146" t="s">
        <v>44</v>
      </c>
      <c r="P125" s="146" t="s">
        <v>58</v>
      </c>
      <c r="Q125" s="146" t="s">
        <v>53</v>
      </c>
      <c r="R125" s="146" t="s">
        <v>360</v>
      </c>
      <c r="S125" s="146" t="s">
        <v>361</v>
      </c>
      <c r="T125" s="146" t="s">
        <v>361</v>
      </c>
      <c r="U125" s="146" t="s">
        <v>361</v>
      </c>
      <c r="V125" s="146" t="s">
        <v>360</v>
      </c>
      <c r="W125" s="146" t="s">
        <v>361</v>
      </c>
      <c r="X125" s="146" t="s">
        <v>361</v>
      </c>
      <c r="Y125" s="146" t="s">
        <v>360</v>
      </c>
      <c r="Z125" s="146" t="s">
        <v>361</v>
      </c>
      <c r="AA125" s="146" t="s">
        <v>361</v>
      </c>
      <c r="AB125" s="146" t="s">
        <v>361</v>
      </c>
      <c r="AC125" s="146" t="s">
        <v>361</v>
      </c>
      <c r="AD125" s="146" t="s">
        <v>360</v>
      </c>
      <c r="AE125" s="146" t="s">
        <v>361</v>
      </c>
      <c r="AF125" s="146" t="s">
        <v>361</v>
      </c>
      <c r="AG125" s="146" t="s">
        <v>361</v>
      </c>
      <c r="AH125" s="146" t="s">
        <v>361</v>
      </c>
      <c r="AI125" s="146" t="s">
        <v>361</v>
      </c>
      <c r="AJ125" s="146" t="s">
        <v>361</v>
      </c>
      <c r="AK125" s="146" t="s">
        <v>361</v>
      </c>
      <c r="AL125" s="146" t="s">
        <v>360</v>
      </c>
      <c r="AM125" s="146" t="s">
        <v>361</v>
      </c>
      <c r="AN125" s="146" t="s">
        <v>360</v>
      </c>
      <c r="AO125" s="149" t="s">
        <v>361</v>
      </c>
      <c r="AP125" s="181" t="s">
        <v>1360</v>
      </c>
      <c r="AQ125" s="146">
        <v>125</v>
      </c>
      <c r="AR125" s="146" t="s">
        <v>360</v>
      </c>
      <c r="AS125" s="146" t="s">
        <v>361</v>
      </c>
      <c r="AT125" s="146" t="s">
        <v>361</v>
      </c>
      <c r="AU125" s="146" t="s">
        <v>361</v>
      </c>
      <c r="AV125" s="146" t="s">
        <v>361</v>
      </c>
      <c r="AW125" s="146" t="s">
        <v>361</v>
      </c>
      <c r="AX125" s="146" t="s">
        <v>361</v>
      </c>
      <c r="AY125" s="146" t="s">
        <v>361</v>
      </c>
      <c r="AZ125" s="146" t="s">
        <v>360</v>
      </c>
      <c r="BA125" s="146" t="s">
        <v>361</v>
      </c>
      <c r="BB125" s="146" t="s">
        <v>361</v>
      </c>
      <c r="BC125" s="146" t="s">
        <v>361</v>
      </c>
      <c r="BD125" s="146" t="s">
        <v>361</v>
      </c>
      <c r="BE125" s="146" t="s">
        <v>361</v>
      </c>
      <c r="BF125" s="146" t="s">
        <v>361</v>
      </c>
      <c r="BG125" s="146" t="s">
        <v>361</v>
      </c>
      <c r="BH125" s="146" t="s">
        <v>361</v>
      </c>
      <c r="BI125" s="146" t="s">
        <v>361</v>
      </c>
      <c r="BJ125" s="146" t="s">
        <v>361</v>
      </c>
      <c r="BK125" s="146" t="s">
        <v>361</v>
      </c>
      <c r="BL125" s="146" t="s">
        <v>361</v>
      </c>
      <c r="BM125" s="146" t="s">
        <v>361</v>
      </c>
      <c r="BN125" s="146" t="s">
        <v>361</v>
      </c>
      <c r="BO125" s="146" t="s">
        <v>360</v>
      </c>
      <c r="BP125" s="146" t="s">
        <v>361</v>
      </c>
      <c r="BQ125" s="146" t="s">
        <v>360</v>
      </c>
      <c r="BR125" s="146" t="s">
        <v>361</v>
      </c>
      <c r="BS125" s="146" t="s">
        <v>360</v>
      </c>
      <c r="BT125" s="146" t="s">
        <v>361</v>
      </c>
      <c r="BU125" s="146" t="s">
        <v>361</v>
      </c>
      <c r="BV125" s="146" t="s">
        <v>361</v>
      </c>
      <c r="BW125" s="146" t="s">
        <v>361</v>
      </c>
      <c r="BX125" s="146" t="s">
        <v>361</v>
      </c>
      <c r="BY125" s="146" t="s">
        <v>361</v>
      </c>
      <c r="BZ125" s="149" t="s">
        <v>360</v>
      </c>
    </row>
    <row r="126" spans="1:78" x14ac:dyDescent="0.25">
      <c r="A126" s="181" t="s">
        <v>1361</v>
      </c>
      <c r="B126" s="146" t="s">
        <v>361</v>
      </c>
      <c r="C126" s="146" t="s">
        <v>361</v>
      </c>
      <c r="D126" s="146" t="s">
        <v>361</v>
      </c>
      <c r="E126" s="146" t="s">
        <v>361</v>
      </c>
      <c r="F126" s="146" t="s">
        <v>361</v>
      </c>
      <c r="G126" s="146" t="s">
        <v>360</v>
      </c>
      <c r="H126" s="146" t="s">
        <v>360</v>
      </c>
      <c r="I126" s="146" t="s">
        <v>361</v>
      </c>
      <c r="J126" s="149" t="s">
        <v>360</v>
      </c>
      <c r="K126" s="181" t="s">
        <v>1361</v>
      </c>
      <c r="L126" s="146" t="s">
        <v>38</v>
      </c>
      <c r="M126" s="146" t="s">
        <v>41</v>
      </c>
      <c r="N126" s="146" t="s">
        <v>43</v>
      </c>
      <c r="O126" s="146" t="s">
        <v>45</v>
      </c>
      <c r="P126" s="146" t="s">
        <v>49</v>
      </c>
      <c r="Q126" s="146" t="s">
        <v>52</v>
      </c>
      <c r="R126" s="146" t="s">
        <v>361</v>
      </c>
      <c r="S126" s="146" t="s">
        <v>361</v>
      </c>
      <c r="T126" s="146" t="s">
        <v>361</v>
      </c>
      <c r="U126" s="146" t="s">
        <v>361</v>
      </c>
      <c r="V126" s="146" t="s">
        <v>360</v>
      </c>
      <c r="W126" s="146" t="s">
        <v>361</v>
      </c>
      <c r="X126" s="146" t="s">
        <v>361</v>
      </c>
      <c r="Y126" s="146" t="s">
        <v>361</v>
      </c>
      <c r="Z126" s="146" t="s">
        <v>361</v>
      </c>
      <c r="AA126" s="146" t="s">
        <v>360</v>
      </c>
      <c r="AB126" s="146" t="s">
        <v>361</v>
      </c>
      <c r="AC126" s="146" t="s">
        <v>360</v>
      </c>
      <c r="AD126" s="146" t="s">
        <v>361</v>
      </c>
      <c r="AE126" s="146" t="s">
        <v>360</v>
      </c>
      <c r="AF126" s="146" t="s">
        <v>361</v>
      </c>
      <c r="AG126" s="146" t="s">
        <v>361</v>
      </c>
      <c r="AH126" s="146" t="s">
        <v>361</v>
      </c>
      <c r="AI126" s="146" t="s">
        <v>360</v>
      </c>
      <c r="AJ126" s="146" t="s">
        <v>361</v>
      </c>
      <c r="AK126" s="146" t="s">
        <v>361</v>
      </c>
      <c r="AL126" s="146" t="s">
        <v>361</v>
      </c>
      <c r="AM126" s="146" t="s">
        <v>360</v>
      </c>
      <c r="AN126" s="146" t="s">
        <v>361</v>
      </c>
      <c r="AO126" s="149" t="s">
        <v>361</v>
      </c>
      <c r="AP126" s="181" t="s">
        <v>1361</v>
      </c>
      <c r="AQ126" s="146">
        <v>126</v>
      </c>
      <c r="AR126" s="146" t="s">
        <v>360</v>
      </c>
      <c r="AS126" s="146" t="s">
        <v>361</v>
      </c>
      <c r="AT126" s="146" t="s">
        <v>361</v>
      </c>
      <c r="AU126" s="146" t="s">
        <v>361</v>
      </c>
      <c r="AV126" s="146" t="s">
        <v>361</v>
      </c>
      <c r="AW126" s="146" t="s">
        <v>361</v>
      </c>
      <c r="AX126" s="146" t="s">
        <v>360</v>
      </c>
      <c r="AY126" s="146" t="s">
        <v>361</v>
      </c>
      <c r="AZ126" s="146" t="s">
        <v>361</v>
      </c>
      <c r="BA126" s="146" t="s">
        <v>361</v>
      </c>
      <c r="BB126" s="146" t="s">
        <v>361</v>
      </c>
      <c r="BC126" s="146" t="s">
        <v>361</v>
      </c>
      <c r="BD126" s="146" t="s">
        <v>361</v>
      </c>
      <c r="BE126" s="146" t="s">
        <v>361</v>
      </c>
      <c r="BF126" s="146" t="s">
        <v>361</v>
      </c>
      <c r="BG126" s="146" t="s">
        <v>361</v>
      </c>
      <c r="BH126" s="146" t="s">
        <v>361</v>
      </c>
      <c r="BI126" s="146" t="s">
        <v>361</v>
      </c>
      <c r="BJ126" s="146" t="s">
        <v>361</v>
      </c>
      <c r="BK126" s="146" t="s">
        <v>361</v>
      </c>
      <c r="BL126" s="146" t="s">
        <v>361</v>
      </c>
      <c r="BM126" s="146" t="s">
        <v>360</v>
      </c>
      <c r="BN126" s="146" t="s">
        <v>360</v>
      </c>
      <c r="BO126" s="146" t="s">
        <v>360</v>
      </c>
      <c r="BP126" s="146" t="s">
        <v>361</v>
      </c>
      <c r="BQ126" s="146" t="s">
        <v>361</v>
      </c>
      <c r="BR126" s="146" t="s">
        <v>361</v>
      </c>
      <c r="BS126" s="146" t="s">
        <v>360</v>
      </c>
      <c r="BT126" s="146" t="s">
        <v>361</v>
      </c>
      <c r="BU126" s="146" t="s">
        <v>361</v>
      </c>
      <c r="BV126" s="146" t="s">
        <v>361</v>
      </c>
      <c r="BW126" s="146" t="s">
        <v>361</v>
      </c>
      <c r="BX126" s="146" t="s">
        <v>361</v>
      </c>
      <c r="BY126" s="146" t="s">
        <v>361</v>
      </c>
      <c r="BZ126" s="149" t="s">
        <v>361</v>
      </c>
    </row>
    <row r="127" spans="1:78" x14ac:dyDescent="0.25">
      <c r="A127" s="181" t="s">
        <v>1362</v>
      </c>
      <c r="B127" s="146" t="s">
        <v>360</v>
      </c>
      <c r="C127" s="146" t="s">
        <v>360</v>
      </c>
      <c r="D127" s="146" t="s">
        <v>361</v>
      </c>
      <c r="E127" s="146" t="s">
        <v>361</v>
      </c>
      <c r="F127" s="146" t="s">
        <v>361</v>
      </c>
      <c r="G127" s="146" t="s">
        <v>360</v>
      </c>
      <c r="H127" s="146" t="s">
        <v>361</v>
      </c>
      <c r="I127" s="146" t="s">
        <v>361</v>
      </c>
      <c r="J127" s="149" t="s">
        <v>361</v>
      </c>
      <c r="K127" s="181" t="s">
        <v>1362</v>
      </c>
      <c r="L127" s="146" t="s">
        <v>36</v>
      </c>
      <c r="M127" s="146" t="s">
        <v>37</v>
      </c>
      <c r="N127" s="146" t="s">
        <v>39</v>
      </c>
      <c r="O127" s="146" t="s">
        <v>48</v>
      </c>
      <c r="P127" s="146" t="s">
        <v>52</v>
      </c>
      <c r="Q127" s="146" t="s">
        <v>53</v>
      </c>
      <c r="R127" s="146" t="s">
        <v>361</v>
      </c>
      <c r="S127" s="146" t="s">
        <v>360</v>
      </c>
      <c r="T127" s="146" t="s">
        <v>361</v>
      </c>
      <c r="U127" s="146" t="s">
        <v>360</v>
      </c>
      <c r="V127" s="146" t="s">
        <v>361</v>
      </c>
      <c r="W127" s="146" t="s">
        <v>360</v>
      </c>
      <c r="X127" s="146" t="s">
        <v>361</v>
      </c>
      <c r="Y127" s="146" t="s">
        <v>361</v>
      </c>
      <c r="Z127" s="146" t="s">
        <v>361</v>
      </c>
      <c r="AA127" s="146" t="s">
        <v>361</v>
      </c>
      <c r="AB127" s="146" t="s">
        <v>361</v>
      </c>
      <c r="AC127" s="146" t="s">
        <v>361</v>
      </c>
      <c r="AD127" s="146" t="s">
        <v>361</v>
      </c>
      <c r="AE127" s="146" t="s">
        <v>361</v>
      </c>
      <c r="AF127" s="146" t="s">
        <v>361</v>
      </c>
      <c r="AG127" s="146" t="s">
        <v>361</v>
      </c>
      <c r="AH127" s="146" t="s">
        <v>360</v>
      </c>
      <c r="AI127" s="146" t="s">
        <v>361</v>
      </c>
      <c r="AJ127" s="146" t="s">
        <v>361</v>
      </c>
      <c r="AK127" s="146" t="s">
        <v>361</v>
      </c>
      <c r="AL127" s="146" t="s">
        <v>361</v>
      </c>
      <c r="AM127" s="146" t="s">
        <v>360</v>
      </c>
      <c r="AN127" s="146" t="s">
        <v>360</v>
      </c>
      <c r="AO127" s="149" t="s">
        <v>361</v>
      </c>
      <c r="AP127" s="181" t="s">
        <v>1362</v>
      </c>
      <c r="AQ127" s="146">
        <v>127</v>
      </c>
      <c r="AR127" s="146" t="s">
        <v>360</v>
      </c>
      <c r="AS127" s="146" t="s">
        <v>361</v>
      </c>
      <c r="AT127" s="146" t="s">
        <v>361</v>
      </c>
      <c r="AU127" s="146" t="s">
        <v>360</v>
      </c>
      <c r="AV127" s="146" t="s">
        <v>361</v>
      </c>
      <c r="AW127" s="146" t="s">
        <v>361</v>
      </c>
      <c r="AX127" s="146" t="s">
        <v>361</v>
      </c>
      <c r="AY127" s="146" t="s">
        <v>361</v>
      </c>
      <c r="AZ127" s="146" t="s">
        <v>361</v>
      </c>
      <c r="BA127" s="146" t="s">
        <v>361</v>
      </c>
      <c r="BB127" s="146" t="s">
        <v>360</v>
      </c>
      <c r="BC127" s="146" t="s">
        <v>361</v>
      </c>
      <c r="BD127" s="146" t="s">
        <v>361</v>
      </c>
      <c r="BE127" s="146" t="s">
        <v>361</v>
      </c>
      <c r="BF127" s="146" t="s">
        <v>361</v>
      </c>
      <c r="BG127" s="146" t="s">
        <v>361</v>
      </c>
      <c r="BH127" s="146" t="s">
        <v>361</v>
      </c>
      <c r="BI127" s="146" t="s">
        <v>361</v>
      </c>
      <c r="BJ127" s="146" t="s">
        <v>361</v>
      </c>
      <c r="BK127" s="146" t="s">
        <v>361</v>
      </c>
      <c r="BL127" s="146" t="s">
        <v>361</v>
      </c>
      <c r="BM127" s="146" t="s">
        <v>360</v>
      </c>
      <c r="BN127" s="146" t="s">
        <v>361</v>
      </c>
      <c r="BO127" s="146" t="s">
        <v>361</v>
      </c>
      <c r="BP127" s="146" t="s">
        <v>361</v>
      </c>
      <c r="BQ127" s="146" t="s">
        <v>361</v>
      </c>
      <c r="BR127" s="146" t="s">
        <v>361</v>
      </c>
      <c r="BS127" s="146" t="s">
        <v>360</v>
      </c>
      <c r="BT127" s="146" t="s">
        <v>361</v>
      </c>
      <c r="BU127" s="146" t="s">
        <v>361</v>
      </c>
      <c r="BV127" s="146" t="s">
        <v>361</v>
      </c>
      <c r="BW127" s="146" t="s">
        <v>361</v>
      </c>
      <c r="BX127" s="146" t="s">
        <v>361</v>
      </c>
      <c r="BY127" s="146" t="s">
        <v>361</v>
      </c>
      <c r="BZ127" s="149" t="s">
        <v>361</v>
      </c>
    </row>
    <row r="128" spans="1:78" x14ac:dyDescent="0.25">
      <c r="A128" s="181" t="s">
        <v>1363</v>
      </c>
      <c r="B128" s="146" t="s">
        <v>361</v>
      </c>
      <c r="C128" s="146" t="s">
        <v>360</v>
      </c>
      <c r="D128" s="146" t="s">
        <v>361</v>
      </c>
      <c r="E128" s="146" t="s">
        <v>361</v>
      </c>
      <c r="F128" s="146" t="s">
        <v>361</v>
      </c>
      <c r="G128" s="146" t="s">
        <v>361</v>
      </c>
      <c r="H128" s="146" t="s">
        <v>361</v>
      </c>
      <c r="I128" s="146" t="s">
        <v>360</v>
      </c>
      <c r="J128" s="149" t="s">
        <v>360</v>
      </c>
      <c r="K128" s="181" t="s">
        <v>1363</v>
      </c>
      <c r="L128" s="146" t="s">
        <v>35</v>
      </c>
      <c r="M128" s="146" t="s">
        <v>38</v>
      </c>
      <c r="N128" s="146" t="s">
        <v>44</v>
      </c>
      <c r="O128" s="146" t="s">
        <v>49</v>
      </c>
      <c r="P128" s="146" t="s">
        <v>58</v>
      </c>
      <c r="Q128" s="146" t="s">
        <v>52</v>
      </c>
      <c r="R128" s="146" t="s">
        <v>360</v>
      </c>
      <c r="S128" s="146" t="s">
        <v>361</v>
      </c>
      <c r="T128" s="146" t="s">
        <v>361</v>
      </c>
      <c r="U128" s="146" t="s">
        <v>361</v>
      </c>
      <c r="V128" s="146" t="s">
        <v>360</v>
      </c>
      <c r="W128" s="146" t="s">
        <v>361</v>
      </c>
      <c r="X128" s="146" t="s">
        <v>361</v>
      </c>
      <c r="Y128" s="146" t="s">
        <v>361</v>
      </c>
      <c r="Z128" s="146" t="s">
        <v>361</v>
      </c>
      <c r="AA128" s="146" t="s">
        <v>361</v>
      </c>
      <c r="AB128" s="146" t="s">
        <v>361</v>
      </c>
      <c r="AC128" s="146" t="s">
        <v>361</v>
      </c>
      <c r="AD128" s="146" t="s">
        <v>360</v>
      </c>
      <c r="AE128" s="146" t="s">
        <v>361</v>
      </c>
      <c r="AF128" s="146" t="s">
        <v>361</v>
      </c>
      <c r="AG128" s="146" t="s">
        <v>361</v>
      </c>
      <c r="AH128" s="146" t="s">
        <v>361</v>
      </c>
      <c r="AI128" s="146" t="s">
        <v>360</v>
      </c>
      <c r="AJ128" s="146" t="s">
        <v>361</v>
      </c>
      <c r="AK128" s="146" t="s">
        <v>361</v>
      </c>
      <c r="AL128" s="146" t="s">
        <v>360</v>
      </c>
      <c r="AM128" s="146" t="s">
        <v>360</v>
      </c>
      <c r="AN128" s="146" t="s">
        <v>361</v>
      </c>
      <c r="AO128" s="149" t="s">
        <v>361</v>
      </c>
      <c r="AP128" s="181" t="s">
        <v>1363</v>
      </c>
      <c r="AQ128" s="146">
        <v>128</v>
      </c>
      <c r="AR128" s="146" t="s">
        <v>361</v>
      </c>
      <c r="AS128" s="146" t="s">
        <v>361</v>
      </c>
      <c r="AT128" s="146" t="s">
        <v>361</v>
      </c>
      <c r="AU128" s="146" t="s">
        <v>361</v>
      </c>
      <c r="AV128" s="146" t="s">
        <v>361</v>
      </c>
      <c r="AW128" s="146" t="s">
        <v>361</v>
      </c>
      <c r="AX128" s="146" t="s">
        <v>361</v>
      </c>
      <c r="AY128" s="146" t="s">
        <v>361</v>
      </c>
      <c r="AZ128" s="146" t="s">
        <v>361</v>
      </c>
      <c r="BA128" s="146" t="s">
        <v>361</v>
      </c>
      <c r="BB128" s="146" t="s">
        <v>361</v>
      </c>
      <c r="BC128" s="146" t="s">
        <v>361</v>
      </c>
      <c r="BD128" s="146" t="s">
        <v>361</v>
      </c>
      <c r="BE128" s="146" t="s">
        <v>361</v>
      </c>
      <c r="BF128" s="146" t="s">
        <v>361</v>
      </c>
      <c r="BG128" s="146" t="s">
        <v>361</v>
      </c>
      <c r="BH128" s="146" t="s">
        <v>361</v>
      </c>
      <c r="BI128" s="146" t="s">
        <v>361</v>
      </c>
      <c r="BJ128" s="146" t="s">
        <v>361</v>
      </c>
      <c r="BK128" s="146" t="s">
        <v>361</v>
      </c>
      <c r="BL128" s="146" t="s">
        <v>361</v>
      </c>
      <c r="BM128" s="146" t="s">
        <v>361</v>
      </c>
      <c r="BN128" s="146" t="s">
        <v>361</v>
      </c>
      <c r="BO128" s="146" t="s">
        <v>361</v>
      </c>
      <c r="BP128" s="146" t="s">
        <v>361</v>
      </c>
      <c r="BQ128" s="146" t="s">
        <v>361</v>
      </c>
      <c r="BR128" s="146" t="s">
        <v>361</v>
      </c>
      <c r="BS128" s="146" t="s">
        <v>360</v>
      </c>
      <c r="BT128" s="146" t="s">
        <v>361</v>
      </c>
      <c r="BU128" s="146" t="s">
        <v>361</v>
      </c>
      <c r="BV128" s="146" t="s">
        <v>361</v>
      </c>
      <c r="BW128" s="146" t="s">
        <v>361</v>
      </c>
      <c r="BX128" s="146" t="s">
        <v>361</v>
      </c>
      <c r="BY128" s="146" t="s">
        <v>361</v>
      </c>
      <c r="BZ128" s="149" t="s">
        <v>361</v>
      </c>
    </row>
    <row r="129" spans="1:78" x14ac:dyDescent="0.25">
      <c r="A129" s="181" t="s">
        <v>1364</v>
      </c>
      <c r="B129" s="146" t="s">
        <v>361</v>
      </c>
      <c r="C129" s="146" t="s">
        <v>361</v>
      </c>
      <c r="D129" s="146" t="s">
        <v>361</v>
      </c>
      <c r="E129" s="146" t="s">
        <v>360</v>
      </c>
      <c r="F129" s="146" t="s">
        <v>361</v>
      </c>
      <c r="G129" s="146" t="s">
        <v>361</v>
      </c>
      <c r="H129" s="146" t="s">
        <v>361</v>
      </c>
      <c r="I129" s="146" t="s">
        <v>360</v>
      </c>
      <c r="J129" s="149" t="s">
        <v>360</v>
      </c>
      <c r="K129" s="181" t="s">
        <v>1364</v>
      </c>
      <c r="L129" s="146" t="s">
        <v>35</v>
      </c>
      <c r="M129" s="146" t="s">
        <v>55</v>
      </c>
      <c r="N129" s="146" t="s">
        <v>57</v>
      </c>
      <c r="O129" s="146" t="s">
        <v>43</v>
      </c>
      <c r="P129" s="146" t="s">
        <v>44</v>
      </c>
      <c r="Q129" s="146" t="s">
        <v>58</v>
      </c>
      <c r="R129" s="146" t="s">
        <v>360</v>
      </c>
      <c r="S129" s="146" t="s">
        <v>361</v>
      </c>
      <c r="T129" s="146" t="s">
        <v>360</v>
      </c>
      <c r="U129" s="146" t="s">
        <v>361</v>
      </c>
      <c r="V129" s="146" t="s">
        <v>361</v>
      </c>
      <c r="W129" s="146" t="s">
        <v>361</v>
      </c>
      <c r="X129" s="146" t="s">
        <v>361</v>
      </c>
      <c r="Y129" s="146" t="s">
        <v>361</v>
      </c>
      <c r="Z129" s="146" t="s">
        <v>360</v>
      </c>
      <c r="AA129" s="146" t="s">
        <v>361</v>
      </c>
      <c r="AB129" s="146" t="s">
        <v>361</v>
      </c>
      <c r="AC129" s="146" t="s">
        <v>360</v>
      </c>
      <c r="AD129" s="146" t="s">
        <v>360</v>
      </c>
      <c r="AE129" s="146" t="s">
        <v>361</v>
      </c>
      <c r="AF129" s="146" t="s">
        <v>361</v>
      </c>
      <c r="AG129" s="146" t="s">
        <v>361</v>
      </c>
      <c r="AH129" s="146" t="s">
        <v>361</v>
      </c>
      <c r="AI129" s="146" t="s">
        <v>361</v>
      </c>
      <c r="AJ129" s="146" t="s">
        <v>361</v>
      </c>
      <c r="AK129" s="146" t="s">
        <v>361</v>
      </c>
      <c r="AL129" s="146" t="s">
        <v>360</v>
      </c>
      <c r="AM129" s="146" t="s">
        <v>361</v>
      </c>
      <c r="AN129" s="146" t="s">
        <v>361</v>
      </c>
      <c r="AO129" s="149" t="s">
        <v>361</v>
      </c>
      <c r="AP129" s="181" t="s">
        <v>1364</v>
      </c>
      <c r="AQ129" s="146">
        <v>129</v>
      </c>
      <c r="AR129" s="146" t="s">
        <v>361</v>
      </c>
      <c r="AS129" s="146" t="s">
        <v>361</v>
      </c>
      <c r="AT129" s="146" t="s">
        <v>361</v>
      </c>
      <c r="AU129" s="146" t="s">
        <v>361</v>
      </c>
      <c r="AV129" s="146" t="s">
        <v>361</v>
      </c>
      <c r="AW129" s="146" t="s">
        <v>361</v>
      </c>
      <c r="AX129" s="146" t="s">
        <v>361</v>
      </c>
      <c r="AY129" s="146" t="s">
        <v>361</v>
      </c>
      <c r="AZ129" s="146" t="s">
        <v>360</v>
      </c>
      <c r="BA129" s="146" t="s">
        <v>361</v>
      </c>
      <c r="BB129" s="146" t="s">
        <v>361</v>
      </c>
      <c r="BC129" s="146" t="s">
        <v>360</v>
      </c>
      <c r="BD129" s="146" t="s">
        <v>361</v>
      </c>
      <c r="BE129" s="146" t="s">
        <v>361</v>
      </c>
      <c r="BF129" s="146" t="s">
        <v>361</v>
      </c>
      <c r="BG129" s="146" t="s">
        <v>361</v>
      </c>
      <c r="BH129" s="146" t="s">
        <v>361</v>
      </c>
      <c r="BI129" s="146" t="s">
        <v>361</v>
      </c>
      <c r="BJ129" s="146" t="s">
        <v>361</v>
      </c>
      <c r="BK129" s="146" t="s">
        <v>361</v>
      </c>
      <c r="BL129" s="146" t="s">
        <v>361</v>
      </c>
      <c r="BM129" s="146" t="s">
        <v>361</v>
      </c>
      <c r="BN129" s="146" t="s">
        <v>361</v>
      </c>
      <c r="BO129" s="146" t="s">
        <v>361</v>
      </c>
      <c r="BP129" s="146" t="s">
        <v>361</v>
      </c>
      <c r="BQ129" s="146" t="s">
        <v>361</v>
      </c>
      <c r="BR129" s="146" t="s">
        <v>361</v>
      </c>
      <c r="BS129" s="146" t="s">
        <v>360</v>
      </c>
      <c r="BT129" s="146" t="s">
        <v>361</v>
      </c>
      <c r="BU129" s="146" t="s">
        <v>361</v>
      </c>
      <c r="BV129" s="146" t="s">
        <v>361</v>
      </c>
      <c r="BW129" s="146" t="s">
        <v>361</v>
      </c>
      <c r="BX129" s="146" t="s">
        <v>361</v>
      </c>
      <c r="BY129" s="146" t="s">
        <v>361</v>
      </c>
      <c r="BZ129" s="149" t="s">
        <v>361</v>
      </c>
    </row>
    <row r="130" spans="1:78" ht="15.75" thickBot="1" x14ac:dyDescent="0.3">
      <c r="A130" s="180" t="s">
        <v>1365</v>
      </c>
      <c r="B130" s="150" t="s">
        <v>361</v>
      </c>
      <c r="C130" s="150" t="s">
        <v>361</v>
      </c>
      <c r="D130" s="150" t="s">
        <v>361</v>
      </c>
      <c r="E130" s="150" t="s">
        <v>361</v>
      </c>
      <c r="F130" s="150" t="s">
        <v>360</v>
      </c>
      <c r="G130" s="150" t="s">
        <v>361</v>
      </c>
      <c r="H130" s="150" t="s">
        <v>360</v>
      </c>
      <c r="I130" s="150" t="s">
        <v>360</v>
      </c>
      <c r="J130" s="160" t="s">
        <v>361</v>
      </c>
      <c r="K130" s="180" t="s">
        <v>1365</v>
      </c>
      <c r="L130" s="150" t="s">
        <v>35</v>
      </c>
      <c r="M130" s="150" t="s">
        <v>38</v>
      </c>
      <c r="N130" s="150" t="s">
        <v>40</v>
      </c>
      <c r="O130" s="150" t="s">
        <v>41</v>
      </c>
      <c r="P130" s="150" t="s">
        <v>43</v>
      </c>
      <c r="Q130" s="150" t="s">
        <v>44</v>
      </c>
      <c r="R130" s="150" t="s">
        <v>360</v>
      </c>
      <c r="S130" s="150" t="s">
        <v>361</v>
      </c>
      <c r="T130" s="150" t="s">
        <v>361</v>
      </c>
      <c r="U130" s="150" t="s">
        <v>361</v>
      </c>
      <c r="V130" s="150" t="s">
        <v>360</v>
      </c>
      <c r="W130" s="150" t="s">
        <v>361</v>
      </c>
      <c r="X130" s="150" t="s">
        <v>360</v>
      </c>
      <c r="Y130" s="150" t="s">
        <v>361</v>
      </c>
      <c r="Z130" s="150" t="s">
        <v>361</v>
      </c>
      <c r="AA130" s="150" t="s">
        <v>360</v>
      </c>
      <c r="AB130" s="150" t="s">
        <v>361</v>
      </c>
      <c r="AC130" s="150" t="s">
        <v>360</v>
      </c>
      <c r="AD130" s="150" t="s">
        <v>360</v>
      </c>
      <c r="AE130" s="150" t="s">
        <v>361</v>
      </c>
      <c r="AF130" s="150" t="s">
        <v>361</v>
      </c>
      <c r="AG130" s="150" t="s">
        <v>361</v>
      </c>
      <c r="AH130" s="150" t="s">
        <v>361</v>
      </c>
      <c r="AI130" s="150" t="s">
        <v>361</v>
      </c>
      <c r="AJ130" s="150" t="s">
        <v>361</v>
      </c>
      <c r="AK130" s="150" t="s">
        <v>361</v>
      </c>
      <c r="AL130" s="150" t="s">
        <v>361</v>
      </c>
      <c r="AM130" s="150" t="s">
        <v>361</v>
      </c>
      <c r="AN130" s="150" t="s">
        <v>361</v>
      </c>
      <c r="AO130" s="160" t="s">
        <v>361</v>
      </c>
      <c r="AP130" s="180" t="s">
        <v>1365</v>
      </c>
      <c r="AQ130" s="150">
        <v>130</v>
      </c>
      <c r="AR130" s="150" t="s">
        <v>361</v>
      </c>
      <c r="AS130" s="150" t="s">
        <v>361</v>
      </c>
      <c r="AT130" s="150" t="s">
        <v>361</v>
      </c>
      <c r="AU130" s="150" t="s">
        <v>361</v>
      </c>
      <c r="AV130" s="150" t="s">
        <v>361</v>
      </c>
      <c r="AW130" s="150" t="s">
        <v>361</v>
      </c>
      <c r="AX130" s="150" t="s">
        <v>361</v>
      </c>
      <c r="AY130" s="150" t="s">
        <v>360</v>
      </c>
      <c r="AZ130" s="150" t="s">
        <v>361</v>
      </c>
      <c r="BA130" s="150" t="s">
        <v>361</v>
      </c>
      <c r="BB130" s="150" t="s">
        <v>361</v>
      </c>
      <c r="BC130" s="150" t="s">
        <v>361</v>
      </c>
      <c r="BD130" s="150" t="s">
        <v>361</v>
      </c>
      <c r="BE130" s="150" t="s">
        <v>360</v>
      </c>
      <c r="BF130" s="150" t="s">
        <v>361</v>
      </c>
      <c r="BG130" s="150" t="s">
        <v>361</v>
      </c>
      <c r="BH130" s="150" t="s">
        <v>361</v>
      </c>
      <c r="BI130" s="150" t="s">
        <v>361</v>
      </c>
      <c r="BJ130" s="150" t="s">
        <v>361</v>
      </c>
      <c r="BK130" s="150" t="s">
        <v>361</v>
      </c>
      <c r="BL130" s="150" t="s">
        <v>360</v>
      </c>
      <c r="BM130" s="150" t="s">
        <v>361</v>
      </c>
      <c r="BN130" s="150" t="s">
        <v>361</v>
      </c>
      <c r="BO130" s="150" t="s">
        <v>361</v>
      </c>
      <c r="BP130" s="150" t="s">
        <v>361</v>
      </c>
      <c r="BQ130" s="150" t="s">
        <v>361</v>
      </c>
      <c r="BR130" s="150" t="s">
        <v>361</v>
      </c>
      <c r="BS130" s="150" t="s">
        <v>360</v>
      </c>
      <c r="BT130" s="150" t="s">
        <v>361</v>
      </c>
      <c r="BU130" s="150" t="s">
        <v>361</v>
      </c>
      <c r="BV130" s="150" t="s">
        <v>361</v>
      </c>
      <c r="BW130" s="150" t="s">
        <v>361</v>
      </c>
      <c r="BX130" s="150" t="s">
        <v>361</v>
      </c>
      <c r="BY130" s="150" t="s">
        <v>361</v>
      </c>
      <c r="BZ130" s="160" t="s">
        <v>361</v>
      </c>
    </row>
  </sheetData>
  <sheetProtection password="E9C2" sheet="1" objects="1" scenarios="1" selectLockedCells="1" selectUnlockedCells="1"/>
  <sortState ref="A2:BX123">
    <sortCondition ref="A2"/>
  </sortState>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sheetPr>
  <dimension ref="A1:Q430"/>
  <sheetViews>
    <sheetView topLeftCell="R1" workbookViewId="0">
      <selection activeCell="R1" sqref="A1:XFD1048576"/>
    </sheetView>
  </sheetViews>
  <sheetFormatPr defaultRowHeight="15" x14ac:dyDescent="0.25"/>
  <cols>
    <col min="1" max="1" width="35.7109375" style="74" hidden="1" customWidth="1"/>
    <col min="2" max="2" width="13.7109375" style="73" hidden="1" customWidth="1"/>
    <col min="3" max="3" width="5.28515625" style="73" hidden="1" customWidth="1"/>
    <col min="4" max="4" width="13.42578125" style="73" hidden="1" customWidth="1"/>
    <col min="5" max="5" width="13.7109375" style="73" hidden="1" customWidth="1"/>
    <col min="6" max="6" width="13.42578125" style="73" hidden="1" customWidth="1"/>
    <col min="7" max="8" width="11.28515625" style="73" hidden="1" customWidth="1"/>
    <col min="9" max="9" width="11" style="73" hidden="1" customWidth="1"/>
    <col min="10" max="10" width="10.42578125" style="73" hidden="1" customWidth="1"/>
    <col min="11" max="11" width="9" style="73" hidden="1" customWidth="1"/>
    <col min="12" max="12" width="13.42578125" style="73" hidden="1" customWidth="1"/>
    <col min="13" max="13" width="14.140625" style="73" hidden="1" customWidth="1"/>
    <col min="14" max="14" width="54.7109375" style="73" hidden="1" customWidth="1"/>
    <col min="15" max="15" width="27.7109375" style="73" hidden="1" customWidth="1"/>
    <col min="16" max="16" width="6.140625" style="73" hidden="1" customWidth="1"/>
    <col min="17" max="17" width="5.28515625" style="73" hidden="1" customWidth="1"/>
    <col min="18" max="16384" width="9.140625" style="67"/>
  </cols>
  <sheetData>
    <row r="1" spans="1:17" s="69" customFormat="1" ht="15.75" thickBot="1" x14ac:dyDescent="0.3">
      <c r="A1" s="183" t="s">
        <v>1764</v>
      </c>
      <c r="B1" s="185" t="s">
        <v>70</v>
      </c>
      <c r="C1" s="186" t="s">
        <v>71</v>
      </c>
      <c r="D1" s="186" t="s">
        <v>506</v>
      </c>
      <c r="E1" s="186" t="s">
        <v>538</v>
      </c>
      <c r="F1" s="186" t="s">
        <v>12</v>
      </c>
      <c r="G1" s="186" t="s">
        <v>539</v>
      </c>
      <c r="H1" s="186" t="s">
        <v>964</v>
      </c>
      <c r="I1" s="186" t="s">
        <v>706</v>
      </c>
      <c r="J1" s="186" t="s">
        <v>541</v>
      </c>
      <c r="K1" s="186" t="s">
        <v>358</v>
      </c>
      <c r="L1" s="186" t="s">
        <v>540</v>
      </c>
      <c r="M1" s="186" t="s">
        <v>965</v>
      </c>
      <c r="N1" s="186" t="s">
        <v>1646</v>
      </c>
      <c r="O1" s="186" t="s">
        <v>1643</v>
      </c>
      <c r="P1" s="186" t="s">
        <v>139</v>
      </c>
      <c r="Q1" s="187" t="s">
        <v>138</v>
      </c>
    </row>
    <row r="2" spans="1:17" x14ac:dyDescent="0.25">
      <c r="A2" s="85" t="s">
        <v>1407</v>
      </c>
      <c r="B2" s="184" t="s">
        <v>368</v>
      </c>
      <c r="C2" s="184">
        <v>4</v>
      </c>
      <c r="D2" s="57" t="s">
        <v>508</v>
      </c>
      <c r="E2" s="57" t="str">
        <f>LOOKUP(D2,Reference!$B$33:$B$46,Reference!$C$33:$C$46)</f>
        <v>None</v>
      </c>
      <c r="F2" s="57" t="s">
        <v>508</v>
      </c>
      <c r="G2" s="57" t="str">
        <f>LOOKUP(F2,Reference!$D$32:$D$55,Reference!$E$32:$E$55)</f>
        <v>None</v>
      </c>
      <c r="H2" s="57" t="s">
        <v>361</v>
      </c>
      <c r="I2" s="57" t="str">
        <f>IF(OR(E2="V",G2="V"),"V",IF(AND(E2="None",G2="None"),"None",(IF(E2="None",0,E2)+IF(G2="None",0,G2)+IF(H2="Yes",CharacterSheet!$V$34,0))))</f>
        <v>None</v>
      </c>
      <c r="J2" s="57" t="s">
        <v>361</v>
      </c>
      <c r="K2" s="57">
        <f>IF(J2="no",0,IF(OR(F2="None",F2="Cheval",F2="Legend",F2="Mystery",F2="Prophecy",F2="TsukumoGami"),0,IF(F2="Varies","V",IF(AND(G2=0,CharacterSheet!$R$36="No"),0,IF(AND(G2=0,CharacterSheet!$R$36="Yes"),LOOKUP(D2,Reference!$N$2:$N$10,Reference!$O$2:$O$10),IF(G2&gt;0,LOOKUP(D2,Reference!$N$2:$N$10,Reference!$P$2:$P$10),"ERROR"))))))</f>
        <v>0</v>
      </c>
      <c r="L2" s="57" t="s">
        <v>361</v>
      </c>
      <c r="M2" s="57">
        <f>IF(E2="V","V",IF(J2="Yes",K2,0)+IF(L2="Yes",CharacterSheet!D350,0))</f>
        <v>0</v>
      </c>
      <c r="N2" s="57" t="s">
        <v>1076</v>
      </c>
      <c r="O2" s="57" t="s">
        <v>508</v>
      </c>
      <c r="P2" s="57" t="s">
        <v>1068</v>
      </c>
      <c r="Q2" s="58">
        <v>72</v>
      </c>
    </row>
    <row r="3" spans="1:17" x14ac:dyDescent="0.25">
      <c r="A3" s="86" t="s">
        <v>1188</v>
      </c>
      <c r="B3" s="39" t="s">
        <v>371</v>
      </c>
      <c r="C3" s="39">
        <v>6</v>
      </c>
      <c r="D3" s="66" t="s">
        <v>14</v>
      </c>
      <c r="E3" s="66">
        <f>LOOKUP(D3,Reference!$B$33:$B$46,Reference!$C$33:$C$46)</f>
        <v>1</v>
      </c>
      <c r="F3" s="66" t="s">
        <v>53</v>
      </c>
      <c r="G3" s="66">
        <f>LOOKUP(F3,Reference!$D$32:$D$55,Reference!$E$32:$E$55)</f>
        <v>0</v>
      </c>
      <c r="H3" s="66" t="s">
        <v>361</v>
      </c>
      <c r="I3" s="57">
        <f>IF(OR(E3="V",G3="V"),"V",IF(AND(E3="None",G3="None"),"None",(IF(E3="None",0,E3)+IF(G3="None",0,G3)+IF(H3="Yes",CharacterSheet!$V$34,0))))</f>
        <v>1</v>
      </c>
      <c r="J3" s="57" t="s">
        <v>360</v>
      </c>
      <c r="K3" s="66">
        <f>IF(J3="no",0,IF(OR(F3="None",F3="Cheval",F3="Legend",F3="Mystery",F3="Prophecy",F3="TsukumoGami"),0,IF(F3="Varies","V",IF(AND(G3=0,CharacterSheet!$R$36="No"),0,IF(AND(G3=0,CharacterSheet!$R$36="Yes"),LOOKUP(D3,Reference!$N$2:$N$10,Reference!$O$2:$O$10),IF(G3&gt;0,LOOKUP(D3,Reference!$N$2:$N$10,Reference!$P$2:$P$10),"ERROR"))))))</f>
        <v>0</v>
      </c>
      <c r="L3" s="66" t="s">
        <v>361</v>
      </c>
      <c r="M3" s="66">
        <f>IF(E3="V","V",IF(J3="Yes",K3,0)+IF(L3="Yes",CharacterSheet!D236,0))</f>
        <v>0</v>
      </c>
      <c r="N3" s="66" t="s">
        <v>1581</v>
      </c>
      <c r="O3" s="66" t="s">
        <v>1552</v>
      </c>
      <c r="P3" s="66" t="s">
        <v>1067</v>
      </c>
      <c r="Q3" s="188">
        <v>76</v>
      </c>
    </row>
    <row r="4" spans="1:17" x14ac:dyDescent="0.25">
      <c r="A4" s="86" t="s">
        <v>1109</v>
      </c>
      <c r="B4" s="39" t="s">
        <v>373</v>
      </c>
      <c r="C4" s="39">
        <v>2</v>
      </c>
      <c r="D4" s="66" t="s">
        <v>14</v>
      </c>
      <c r="E4" s="66">
        <f>LOOKUP(D4,Reference!$B$33:$B$46,Reference!$C$33:$C$46)</f>
        <v>1</v>
      </c>
      <c r="F4" s="66" t="s">
        <v>42</v>
      </c>
      <c r="G4" s="66">
        <f>LOOKUP(F4,Reference!$D$32:$D$55,Reference!$E$32:$E$55)</f>
        <v>0</v>
      </c>
      <c r="H4" s="66" t="s">
        <v>361</v>
      </c>
      <c r="I4" s="57">
        <f>IF(OR(E4="V",G4="V"),"V",IF(AND(E4="None",G4="None"),"None",(IF(E4="None",0,E4)+IF(G4="None",0,G4)+IF(H4="Yes",CharacterSheet!$V$34,0))))</f>
        <v>1</v>
      </c>
      <c r="J4" s="57" t="s">
        <v>360</v>
      </c>
      <c r="K4" s="66">
        <f>IF(J4="no",0,IF(OR(F4="None",F4="Cheval",F4="Legend",F4="Mystery",F4="Prophecy",F4="TsukumoGami"),0,IF(F4="Varies","V",IF(AND(G4=0,CharacterSheet!$R$36="No"),0,IF(AND(G4=0,CharacterSheet!$R$36="Yes"),LOOKUP(D4,Reference!$N$2:$N$10,Reference!$O$2:$O$10),IF(G4&gt;0,LOOKUP(D4,Reference!$N$2:$N$10,Reference!$P$2:$P$10),"ERROR"))))))</f>
        <v>0</v>
      </c>
      <c r="L4" s="66" t="s">
        <v>361</v>
      </c>
      <c r="M4" s="66">
        <f>IF(E4="V","V",IF(J4="Yes",K4,0)+IF(L4="Yes",CharacterSheet!D195,0))</f>
        <v>0</v>
      </c>
      <c r="N4" s="66" t="s">
        <v>1626</v>
      </c>
      <c r="O4" s="66" t="s">
        <v>1553</v>
      </c>
      <c r="P4" s="66" t="s">
        <v>141</v>
      </c>
      <c r="Q4" s="188">
        <v>144</v>
      </c>
    </row>
    <row r="5" spans="1:17" x14ac:dyDescent="0.25">
      <c r="A5" s="86" t="s">
        <v>1406</v>
      </c>
      <c r="B5" s="39" t="s">
        <v>368</v>
      </c>
      <c r="C5" s="39">
        <v>2</v>
      </c>
      <c r="D5" s="66" t="s">
        <v>17</v>
      </c>
      <c r="E5" s="66">
        <f>LOOKUP(D5,Reference!$B$33:$B$46,Reference!$C$33:$C$46)</f>
        <v>1</v>
      </c>
      <c r="F5" s="66" t="s">
        <v>41</v>
      </c>
      <c r="G5" s="66">
        <f>LOOKUP(F5,Reference!$D$32:$D$55,Reference!$E$32:$E$55)</f>
        <v>0</v>
      </c>
      <c r="H5" s="66" t="s">
        <v>361</v>
      </c>
      <c r="I5" s="57">
        <f>IF(OR(E5="V",G5="V"),"V",IF(AND(E5="None",G5="None"),"None",(IF(E5="None",0,E5)+IF(G5="None",0,G5)+IF(H5="Yes",CharacterSheet!$V$34,0))))</f>
        <v>1</v>
      </c>
      <c r="J5" s="57" t="s">
        <v>360</v>
      </c>
      <c r="K5" s="66">
        <f>IF(J5="no",0,IF(OR(F5="None",F5="Cheval",F5="Legend",F5="Mystery",F5="Prophecy",F5="TsukumoGami"),0,IF(F5="Varies","V",IF(AND(G5=0,CharacterSheet!$R$36="No"),0,IF(AND(G5=0,CharacterSheet!$R$36="Yes"),LOOKUP(D5,Reference!$N$2:$N$10,Reference!$O$2:$O$10),IF(G5&gt;0,LOOKUP(D5,Reference!$N$2:$N$10,Reference!$P$2:$P$10),"ERROR"))))))</f>
        <v>0</v>
      </c>
      <c r="L5" s="66" t="s">
        <v>361</v>
      </c>
      <c r="M5" s="66">
        <f>IF(E5="V","V",IF(J5="Yes",K5,0)+IF(L5="Yes",CharacterSheet!D285,0))</f>
        <v>0</v>
      </c>
      <c r="N5" s="66" t="s">
        <v>1072</v>
      </c>
      <c r="O5" s="66" t="s">
        <v>1622</v>
      </c>
      <c r="P5" s="66" t="s">
        <v>1068</v>
      </c>
      <c r="Q5" s="188">
        <v>72</v>
      </c>
    </row>
    <row r="6" spans="1:17" x14ac:dyDescent="0.25">
      <c r="A6" s="86" t="s">
        <v>1484</v>
      </c>
      <c r="B6" s="39" t="s">
        <v>196</v>
      </c>
      <c r="C6" s="39">
        <v>10</v>
      </c>
      <c r="D6" s="66" t="s">
        <v>20</v>
      </c>
      <c r="E6" s="66">
        <f>LOOKUP(D6,Reference!$B$33:$B$46,Reference!$C$33:$C$46)</f>
        <v>1</v>
      </c>
      <c r="F6" s="66" t="s">
        <v>40</v>
      </c>
      <c r="G6" s="66">
        <f>LOOKUP(F6,Reference!$D$32:$D$55,Reference!$E$32:$E$55)</f>
        <v>0</v>
      </c>
      <c r="H6" s="66" t="s">
        <v>361</v>
      </c>
      <c r="I6" s="57">
        <f>IF(OR(E6="V",G6="V"),"V",IF(AND(E6="None",G6="None"),"None",(IF(E6="None",0,E6)+IF(G6="None",0,G6)+IF(H6="Yes",CharacterSheet!$V$34,0))))</f>
        <v>1</v>
      </c>
      <c r="J6" s="57" t="s">
        <v>360</v>
      </c>
      <c r="K6" s="66">
        <f>IF(J6="no",0,IF(OR(F6="None",F6="Cheval",F6="Legend",F6="Mystery",F6="Prophecy",F6="TsukumoGami"),0,IF(F6="Varies","V",IF(AND(G6=0,CharacterSheet!$R$36="No"),0,IF(AND(G6=0,CharacterSheet!$R$36="Yes"),LOOKUP(D6,Reference!$N$2:$N$10,Reference!$O$2:$O$10),IF(G6&gt;0,LOOKUP(D6,Reference!$N$2:$N$10,Reference!$P$2:$P$10),"ERROR"))))))</f>
        <v>0</v>
      </c>
      <c r="L6" s="66" t="s">
        <v>361</v>
      </c>
      <c r="M6" s="66">
        <f>IF(E6="V","V",IF(J6="Yes",K6,0)+IF(L6="Yes",CharacterSheet!D240,0))</f>
        <v>0</v>
      </c>
      <c r="N6" s="66" t="s">
        <v>1732</v>
      </c>
      <c r="O6" s="66" t="s">
        <v>1726</v>
      </c>
      <c r="P6" s="66" t="s">
        <v>1068</v>
      </c>
      <c r="Q6" s="188">
        <v>246</v>
      </c>
    </row>
    <row r="7" spans="1:17" x14ac:dyDescent="0.25">
      <c r="A7" s="86" t="s">
        <v>1490</v>
      </c>
      <c r="B7" s="66" t="s">
        <v>192</v>
      </c>
      <c r="C7" s="39">
        <v>8</v>
      </c>
      <c r="D7" s="66" t="s">
        <v>60</v>
      </c>
      <c r="E7" s="66">
        <f>LOOKUP(D7,Reference!$B$33:$B$46,Reference!$C$33:$C$46)</f>
        <v>0</v>
      </c>
      <c r="F7" s="66" t="s">
        <v>43</v>
      </c>
      <c r="G7" s="66">
        <f>LOOKUP(F7,Reference!$D$32:$D$55,Reference!$E$32:$E$55)</f>
        <v>0</v>
      </c>
      <c r="H7" s="66" t="s">
        <v>360</v>
      </c>
      <c r="I7" s="57">
        <f>IF(OR(E7="V",G7="V"),"V",IF(AND(E7="None",G7="None"),"None",(IF(E7="None",0,E7)+IF(G7="None",0,G7)+IF(H7="Yes",CharacterSheet!$V$34,0))))</f>
        <v>2</v>
      </c>
      <c r="J7" s="57" t="s">
        <v>361</v>
      </c>
      <c r="K7" s="66">
        <f>IF(J7="no",0,IF(OR(F7="None",F7="Cheval",F7="Legend",F7="Mystery",F7="Prophecy",F7="TsukumoGami"),0,IF(F7="Varies","V",IF(AND(G7=0,CharacterSheet!$R$36="No"),0,IF(AND(G7=0,CharacterSheet!$R$36="Yes"),LOOKUP(D7,Reference!$N$2:$N$10,Reference!$O$2:$O$10),IF(G7&gt;0,LOOKUP(D7,Reference!$N$2:$N$10,Reference!$P$2:$P$10),"ERROR"))))))</f>
        <v>0</v>
      </c>
      <c r="L7" s="66" t="s">
        <v>361</v>
      </c>
      <c r="M7" s="66">
        <f>IF(E7="V","V",IF(J7="Yes",K7,0)+IF(L7="Yes",CharacterSheet!D361,0))</f>
        <v>0</v>
      </c>
      <c r="N7" s="66" t="s">
        <v>1075</v>
      </c>
      <c r="O7" s="66" t="s">
        <v>1693</v>
      </c>
      <c r="P7" s="66" t="s">
        <v>1485</v>
      </c>
      <c r="Q7" s="188">
        <v>15</v>
      </c>
    </row>
    <row r="8" spans="1:17" x14ac:dyDescent="0.25">
      <c r="A8" s="86" t="s">
        <v>1489</v>
      </c>
      <c r="B8" s="66" t="s">
        <v>192</v>
      </c>
      <c r="C8" s="39">
        <v>4</v>
      </c>
      <c r="D8" s="66" t="s">
        <v>16</v>
      </c>
      <c r="E8" s="66">
        <f>LOOKUP(D8,Reference!$B$33:$B$46,Reference!$C$33:$C$46)</f>
        <v>1</v>
      </c>
      <c r="F8" s="66" t="s">
        <v>43</v>
      </c>
      <c r="G8" s="66">
        <f>LOOKUP(F8,Reference!$D$32:$D$55,Reference!$E$32:$E$55)</f>
        <v>0</v>
      </c>
      <c r="H8" s="66" t="s">
        <v>361</v>
      </c>
      <c r="I8" s="57">
        <f>IF(OR(E8="V",G8="V"),"V",IF(AND(E8="None",G8="None"),"None",(IF(E8="None",0,E8)+IF(G8="None",0,G8)+IF(H8="Yes",CharacterSheet!$V$34,0))))</f>
        <v>1</v>
      </c>
      <c r="J8" s="57" t="s">
        <v>360</v>
      </c>
      <c r="K8" s="66">
        <f>IF(J8="no",0,IF(OR(F8="None",F8="Cheval",F8="Legend",F8="Mystery",F8="Prophecy",F8="TsukumoGami"),0,IF(F8="Varies","V",IF(AND(G8=0,CharacterSheet!$R$36="No"),0,IF(AND(G8=0,CharacterSheet!$R$36="Yes"),LOOKUP(D8,Reference!$N$2:$N$10,Reference!$O$2:$O$10),IF(G8&gt;0,LOOKUP(D8,Reference!$N$2:$N$10,Reference!$P$2:$P$10),"ERROR"))))))</f>
        <v>0</v>
      </c>
      <c r="L8" s="66" t="s">
        <v>361</v>
      </c>
      <c r="M8" s="66">
        <f>IF(E8="V","V",IF(J8="Yes",K8,0)+IF(L8="Yes",CharacterSheet!D93,0))</f>
        <v>0</v>
      </c>
      <c r="N8" s="66" t="s">
        <v>1631</v>
      </c>
      <c r="O8" s="66" t="s">
        <v>1692</v>
      </c>
      <c r="P8" s="66" t="s">
        <v>1485</v>
      </c>
      <c r="Q8" s="188">
        <v>15</v>
      </c>
    </row>
    <row r="9" spans="1:17" x14ac:dyDescent="0.25">
      <c r="A9" s="86" t="s">
        <v>1491</v>
      </c>
      <c r="B9" s="66" t="s">
        <v>192</v>
      </c>
      <c r="C9" s="39">
        <v>5</v>
      </c>
      <c r="D9" s="66" t="s">
        <v>16</v>
      </c>
      <c r="E9" s="66">
        <f>LOOKUP(D9,Reference!$B$33:$B$46,Reference!$C$33:$C$46)</f>
        <v>1</v>
      </c>
      <c r="F9" s="66" t="s">
        <v>43</v>
      </c>
      <c r="G9" s="66">
        <f>LOOKUP(F9,Reference!$D$32:$D$55,Reference!$E$32:$E$55)</f>
        <v>0</v>
      </c>
      <c r="H9" s="66" t="s">
        <v>361</v>
      </c>
      <c r="I9" s="57">
        <f>IF(OR(E9="V",G9="V"),"V",IF(AND(E9="None",G9="None"),"None",(IF(E9="None",0,E9)+IF(G9="None",0,G9)+IF(H9="Yes",CharacterSheet!$V$34,0))))</f>
        <v>1</v>
      </c>
      <c r="J9" s="57" t="s">
        <v>360</v>
      </c>
      <c r="K9" s="66">
        <f>IF(J9="no",0,IF(OR(F9="None",F9="Cheval",F9="Legend",F9="Mystery",F9="Prophecy",F9="TsukumoGami"),0,IF(F9="Varies","V",IF(AND(G9=0,CharacterSheet!$R$36="No"),0,IF(AND(G9=0,CharacterSheet!$R$36="Yes"),LOOKUP(D9,Reference!$N$2:$N$10,Reference!$O$2:$O$10),IF(G9&gt;0,LOOKUP(D9,Reference!$N$2:$N$10,Reference!$P$2:$P$10),"ERROR"))))))</f>
        <v>0</v>
      </c>
      <c r="L9" s="66" t="s">
        <v>361</v>
      </c>
      <c r="M9" s="66">
        <f>IF(E9="V","V",IF(J9="Yes",K9,0)+IF(L9="Yes",CharacterSheet!D95,0))</f>
        <v>0</v>
      </c>
      <c r="N9" s="66" t="s">
        <v>1631</v>
      </c>
      <c r="O9" s="66" t="s">
        <v>1692</v>
      </c>
      <c r="P9" s="66" t="s">
        <v>1485</v>
      </c>
      <c r="Q9" s="188">
        <v>15</v>
      </c>
    </row>
    <row r="10" spans="1:17" x14ac:dyDescent="0.25">
      <c r="A10" s="86" t="s">
        <v>1492</v>
      </c>
      <c r="B10" s="66" t="s">
        <v>192</v>
      </c>
      <c r="C10" s="39">
        <v>6</v>
      </c>
      <c r="D10" s="66" t="s">
        <v>16</v>
      </c>
      <c r="E10" s="66">
        <f>LOOKUP(D10,Reference!$B$33:$B$46,Reference!$C$33:$C$46)</f>
        <v>1</v>
      </c>
      <c r="F10" s="66" t="s">
        <v>43</v>
      </c>
      <c r="G10" s="66">
        <f>LOOKUP(F10,Reference!$D$32:$D$55,Reference!$E$32:$E$55)</f>
        <v>0</v>
      </c>
      <c r="H10" s="66" t="s">
        <v>361</v>
      </c>
      <c r="I10" s="57">
        <f>IF(OR(E10="V",G10="V"),"V",IF(AND(E10="None",G10="None"),"None",(IF(E10="None",0,E10)+IF(G10="None",0,G10)+IF(H10="Yes",CharacterSheet!$V$34,0))))</f>
        <v>1</v>
      </c>
      <c r="J10" s="57" t="s">
        <v>360</v>
      </c>
      <c r="K10" s="66">
        <f>IF(J10="no",0,IF(OR(F10="None",F10="Cheval",F10="Legend",F10="Mystery",F10="Prophecy",F10="TsukumoGami"),0,IF(F10="Varies","V",IF(AND(G10=0,CharacterSheet!$R$36="No"),0,IF(AND(G10=0,CharacterSheet!$R$36="Yes"),LOOKUP(D10,Reference!$N$2:$N$10,Reference!$O$2:$O$10),IF(G10&gt;0,LOOKUP(D10,Reference!$N$2:$N$10,Reference!$P$2:$P$10),"ERROR"))))))</f>
        <v>0</v>
      </c>
      <c r="L10" s="66" t="s">
        <v>361</v>
      </c>
      <c r="M10" s="66">
        <f>IF(E10="V","V",IF(J10="Yes",K10,0)+IF(L10="Yes",CharacterSheet!D96,0))</f>
        <v>0</v>
      </c>
      <c r="N10" s="66" t="s">
        <v>1631</v>
      </c>
      <c r="O10" s="66" t="s">
        <v>1692</v>
      </c>
      <c r="P10" s="66" t="s">
        <v>1485</v>
      </c>
      <c r="Q10" s="188">
        <v>15</v>
      </c>
    </row>
    <row r="11" spans="1:17" x14ac:dyDescent="0.25">
      <c r="A11" s="86" t="s">
        <v>1493</v>
      </c>
      <c r="B11" s="66" t="s">
        <v>192</v>
      </c>
      <c r="C11" s="39">
        <v>7</v>
      </c>
      <c r="D11" s="66" t="s">
        <v>16</v>
      </c>
      <c r="E11" s="66">
        <f>LOOKUP(D11,Reference!$B$33:$B$46,Reference!$C$33:$C$46)</f>
        <v>1</v>
      </c>
      <c r="F11" s="66" t="s">
        <v>43</v>
      </c>
      <c r="G11" s="66">
        <f>LOOKUP(F11,Reference!$D$32:$D$55,Reference!$E$32:$E$55)</f>
        <v>0</v>
      </c>
      <c r="H11" s="66" t="s">
        <v>361</v>
      </c>
      <c r="I11" s="57">
        <f>IF(OR(E11="V",G11="V"),"V",IF(AND(E11="None",G11="None"),"None",(IF(E11="None",0,E11)+IF(G11="None",0,G11)+IF(H11="Yes",CharacterSheet!$V$34,0))))</f>
        <v>1</v>
      </c>
      <c r="J11" s="57" t="s">
        <v>360</v>
      </c>
      <c r="K11" s="66">
        <f>IF(J11="no",0,IF(OR(F11="None",F11="Cheval",F11="Legend",F11="Mystery",F11="Prophecy",F11="TsukumoGami"),0,IF(F11="Varies","V",IF(AND(G11=0,CharacterSheet!$R$36="No"),0,IF(AND(G11=0,CharacterSheet!$R$36="Yes"),LOOKUP(D11,Reference!$N$2:$N$10,Reference!$O$2:$O$10),IF(G11&gt;0,LOOKUP(D11,Reference!$N$2:$N$10,Reference!$P$2:$P$10),"ERROR"))))))</f>
        <v>0</v>
      </c>
      <c r="L11" s="66" t="s">
        <v>361</v>
      </c>
      <c r="M11" s="66">
        <f>IF(E11="V","V",IF(J11="Yes",K11,0)+IF(L11="Yes",CharacterSheet!D153,0))</f>
        <v>0</v>
      </c>
      <c r="N11" s="66" t="s">
        <v>1631</v>
      </c>
      <c r="O11" s="66" t="s">
        <v>1692</v>
      </c>
      <c r="P11" s="66" t="s">
        <v>1485</v>
      </c>
      <c r="Q11" s="188">
        <v>15</v>
      </c>
    </row>
    <row r="12" spans="1:17" x14ac:dyDescent="0.25">
      <c r="A12" s="86" t="s">
        <v>1089</v>
      </c>
      <c r="B12" s="39" t="s">
        <v>366</v>
      </c>
      <c r="C12" s="39">
        <v>3</v>
      </c>
      <c r="D12" s="66" t="s">
        <v>14</v>
      </c>
      <c r="E12" s="66">
        <f>LOOKUP(D12,Reference!$B$33:$B$46,Reference!$C$33:$C$46)</f>
        <v>1</v>
      </c>
      <c r="F12" s="66" t="s">
        <v>36</v>
      </c>
      <c r="G12" s="66">
        <f>LOOKUP(F12,Reference!$D$32:$D$55,Reference!$E$32:$E$55)</f>
        <v>0</v>
      </c>
      <c r="H12" s="66" t="s">
        <v>361</v>
      </c>
      <c r="I12" s="57">
        <f>IF(OR(E12="V",G12="V"),"V",IF(AND(E12="None",G12="None"),"None",(IF(E12="None",0,E12)+IF(G12="None",0,G12)+IF(H12="Yes",CharacterSheet!$V$34,0))))</f>
        <v>1</v>
      </c>
      <c r="J12" s="57" t="s">
        <v>360</v>
      </c>
      <c r="K12" s="66">
        <f>IF(J12="no",0,IF(OR(F12="None",F12="Cheval",F12="Legend",F12="Mystery",F12="Prophecy",F12="TsukumoGami"),0,IF(F12="Varies","V",IF(AND(G12=0,CharacterSheet!$R$36="No"),0,IF(AND(G12=0,CharacterSheet!$R$36="Yes"),LOOKUP(D12,Reference!$N$2:$N$10,Reference!$O$2:$O$10),IF(G12&gt;0,LOOKUP(D12,Reference!$N$2:$N$10,Reference!$P$2:$P$10),"ERROR"))))))</f>
        <v>0</v>
      </c>
      <c r="L12" s="66" t="s">
        <v>361</v>
      </c>
      <c r="M12" s="66">
        <f>IF(E12="V","V",IF(J12="Yes",K12,0)+IF(L12="Yes",CharacterSheet!D207,0))</f>
        <v>0</v>
      </c>
      <c r="N12" s="66" t="s">
        <v>1541</v>
      </c>
      <c r="O12" s="66" t="s">
        <v>1542</v>
      </c>
      <c r="P12" s="66" t="s">
        <v>141</v>
      </c>
      <c r="Q12" s="188">
        <v>140</v>
      </c>
    </row>
    <row r="13" spans="1:17" x14ac:dyDescent="0.25">
      <c r="A13" s="86" t="s">
        <v>1088</v>
      </c>
      <c r="B13" s="39" t="s">
        <v>366</v>
      </c>
      <c r="C13" s="39">
        <v>2</v>
      </c>
      <c r="D13" s="66" t="s">
        <v>16</v>
      </c>
      <c r="E13" s="66">
        <f>LOOKUP(D13,Reference!$B$33:$B$46,Reference!$C$33:$C$46)</f>
        <v>1</v>
      </c>
      <c r="F13" s="66" t="s">
        <v>36</v>
      </c>
      <c r="G13" s="66">
        <f>LOOKUP(F13,Reference!$D$32:$D$55,Reference!$E$32:$E$55)</f>
        <v>0</v>
      </c>
      <c r="H13" s="66" t="s">
        <v>361</v>
      </c>
      <c r="I13" s="57">
        <f>IF(OR(E13="V",G13="V"),"V",IF(AND(E13="None",G13="None"),"None",(IF(E13="None",0,E13)+IF(G13="None",0,G13)+IF(H13="Yes",CharacterSheet!$V$34,0))))</f>
        <v>1</v>
      </c>
      <c r="J13" s="57" t="s">
        <v>360</v>
      </c>
      <c r="K13" s="66">
        <f>IF(J13="no",0,IF(OR(F13="None",F13="Cheval",F13="Legend",F13="Mystery",F13="Prophecy",F13="TsukumoGami"),0,IF(F13="Varies","V",IF(AND(G13=0,CharacterSheet!$R$36="No"),0,IF(AND(G13=0,CharacterSheet!$R$36="Yes"),LOOKUP(D13,Reference!$N$2:$N$10,Reference!$O$2:$O$10),IF(G13&gt;0,LOOKUP(D13,Reference!$N$2:$N$10,Reference!$P$2:$P$10),"ERROR"))))))</f>
        <v>0</v>
      </c>
      <c r="L13" s="66" t="s">
        <v>361</v>
      </c>
      <c r="M13" s="66">
        <f>IF(E13="V","V",IF(J13="Yes",K13,0)+IF(L13="Yes",CharacterSheet!D110,0))</f>
        <v>0</v>
      </c>
      <c r="N13" s="66" t="s">
        <v>1624</v>
      </c>
      <c r="O13" s="66" t="s">
        <v>1540</v>
      </c>
      <c r="P13" s="66" t="s">
        <v>141</v>
      </c>
      <c r="Q13" s="188">
        <v>139</v>
      </c>
    </row>
    <row r="14" spans="1:17" x14ac:dyDescent="0.25">
      <c r="A14" s="86" t="s">
        <v>1087</v>
      </c>
      <c r="B14" s="39" t="s">
        <v>366</v>
      </c>
      <c r="C14" s="39">
        <v>1</v>
      </c>
      <c r="D14" s="66" t="s">
        <v>20</v>
      </c>
      <c r="E14" s="66">
        <f>LOOKUP(D14,Reference!$B$33:$B$46,Reference!$C$33:$C$46)</f>
        <v>1</v>
      </c>
      <c r="F14" s="66" t="s">
        <v>36</v>
      </c>
      <c r="G14" s="66">
        <f>LOOKUP(F14,Reference!$D$32:$D$55,Reference!$E$32:$E$55)</f>
        <v>0</v>
      </c>
      <c r="H14" s="66" t="s">
        <v>361</v>
      </c>
      <c r="I14" s="57">
        <f>IF(OR(E14="V",G14="V"),"V",IF(AND(E14="None",G14="None"),"None",(IF(E14="None",0,E14)+IF(G14="None",0,G14)+IF(H14="Yes",CharacterSheet!$V$34,0))))</f>
        <v>1</v>
      </c>
      <c r="J14" s="57" t="s">
        <v>360</v>
      </c>
      <c r="K14" s="66">
        <f>IF(J14="no",0,IF(OR(F14="None",F14="Cheval",F14="Legend",F14="Mystery",F14="Prophecy",F14="TsukumoGami"),0,IF(F14="Varies","V",IF(AND(G14=0,CharacterSheet!$R$36="No"),0,IF(AND(G14=0,CharacterSheet!$R$36="Yes"),LOOKUP(D14,Reference!$N$2:$N$10,Reference!$O$2:$O$10),IF(G14&gt;0,LOOKUP(D14,Reference!$N$2:$N$10,Reference!$P$2:$P$10),"ERROR"))))))</f>
        <v>0</v>
      </c>
      <c r="L14" s="66" t="s">
        <v>361</v>
      </c>
      <c r="M14" s="66">
        <f>IF(E14="V","V",IF(J14="Yes",K14,0)+IF(L14="Yes",CharacterSheet!D331,0))</f>
        <v>0</v>
      </c>
      <c r="N14" s="66" t="s">
        <v>508</v>
      </c>
      <c r="O14" s="66" t="s">
        <v>1539</v>
      </c>
      <c r="P14" s="66" t="s">
        <v>141</v>
      </c>
      <c r="Q14" s="188">
        <v>139</v>
      </c>
    </row>
    <row r="15" spans="1:17" x14ac:dyDescent="0.25">
      <c r="A15" s="86" t="s">
        <v>1167</v>
      </c>
      <c r="B15" s="39" t="s">
        <v>366</v>
      </c>
      <c r="C15" s="39">
        <v>5</v>
      </c>
      <c r="D15" s="66" t="s">
        <v>14</v>
      </c>
      <c r="E15" s="66">
        <f>LOOKUP(D15,Reference!$B$33:$B$46,Reference!$C$33:$C$46)</f>
        <v>1</v>
      </c>
      <c r="F15" s="66" t="s">
        <v>36</v>
      </c>
      <c r="G15" s="66">
        <f>LOOKUP(F15,Reference!$D$32:$D$55,Reference!$E$32:$E$55)</f>
        <v>0</v>
      </c>
      <c r="H15" s="66" t="s">
        <v>361</v>
      </c>
      <c r="I15" s="57">
        <f>IF(OR(E15="V",G15="V"),"V",IF(AND(E15="None",G15="None"),"None",(IF(E15="None",0,E15)+IF(G15="None",0,G15)+IF(H15="Yes",CharacterSheet!$V$34,0))))</f>
        <v>1</v>
      </c>
      <c r="J15" s="57" t="s">
        <v>360</v>
      </c>
      <c r="K15" s="66">
        <f>IF(J15="no",0,IF(OR(F15="None",F15="Cheval",F15="Legend",F15="Mystery",F15="Prophecy",F15="TsukumoGami"),0,IF(F15="Varies","V",IF(AND(G15=0,CharacterSheet!$R$36="No"),0,IF(AND(G15=0,CharacterSheet!$R$36="Yes"),LOOKUP(D15,Reference!$N$2:$N$10,Reference!$O$2:$O$10),IF(G15&gt;0,LOOKUP(D15,Reference!$N$2:$N$10,Reference!$P$2:$P$10),"ERROR"))))))</f>
        <v>0</v>
      </c>
      <c r="L15" s="66" t="s">
        <v>361</v>
      </c>
      <c r="M15" s="66">
        <f>IF(E15="V","V",IF(J15="Yes",K15,0)+IF(L15="Yes",CharacterSheet!D238,0))</f>
        <v>0</v>
      </c>
      <c r="N15" s="66" t="s">
        <v>1629</v>
      </c>
      <c r="O15" s="66" t="s">
        <v>1542</v>
      </c>
      <c r="P15" s="66" t="s">
        <v>1067</v>
      </c>
      <c r="Q15" s="188">
        <v>70</v>
      </c>
    </row>
    <row r="16" spans="1:17" x14ac:dyDescent="0.25">
      <c r="A16" s="86" t="s">
        <v>1168</v>
      </c>
      <c r="B16" s="39" t="s">
        <v>366</v>
      </c>
      <c r="C16" s="39">
        <v>6</v>
      </c>
      <c r="D16" s="66" t="s">
        <v>14</v>
      </c>
      <c r="E16" s="66">
        <f>LOOKUP(D16,Reference!$B$33:$B$46,Reference!$C$33:$C$46)</f>
        <v>1</v>
      </c>
      <c r="F16" s="66" t="s">
        <v>36</v>
      </c>
      <c r="G16" s="66">
        <f>LOOKUP(F16,Reference!$D$32:$D$55,Reference!$E$32:$E$55)</f>
        <v>0</v>
      </c>
      <c r="H16" s="66" t="s">
        <v>361</v>
      </c>
      <c r="I16" s="57">
        <f>IF(OR(E16="V",G16="V"),"V",IF(AND(E16="None",G16="None"),"None",(IF(E16="None",0,E16)+IF(G16="None",0,G16)+IF(H16="Yes",CharacterSheet!$V$34,0))))</f>
        <v>1</v>
      </c>
      <c r="J16" s="57" t="s">
        <v>360</v>
      </c>
      <c r="K16" s="66">
        <f>IF(J16="no",0,IF(OR(F16="None",F16="Cheval",F16="Legend",F16="Mystery",F16="Prophecy",F16="TsukumoGami"),0,IF(F16="Varies","V",IF(AND(G16=0,CharacterSheet!$R$36="No"),0,IF(AND(G16=0,CharacterSheet!$R$36="Yes"),LOOKUP(D16,Reference!$N$2:$N$10,Reference!$O$2:$O$10),IF(G16&gt;0,LOOKUP(D16,Reference!$N$2:$N$10,Reference!$P$2:$P$10),"ERROR"))))))</f>
        <v>0</v>
      </c>
      <c r="L16" s="66" t="s">
        <v>361</v>
      </c>
      <c r="M16" s="66">
        <f>IF(E16="V","V",IF(J16="Yes",K16,0)+IF(L16="Yes",CharacterSheet!D66,0))</f>
        <v>0</v>
      </c>
      <c r="N16" s="66" t="s">
        <v>1625</v>
      </c>
      <c r="O16" s="66" t="s">
        <v>1542</v>
      </c>
      <c r="P16" s="66" t="s">
        <v>1067</v>
      </c>
      <c r="Q16" s="188">
        <v>70</v>
      </c>
    </row>
    <row r="17" spans="1:17" x14ac:dyDescent="0.25">
      <c r="A17" s="86" t="s">
        <v>1399</v>
      </c>
      <c r="B17" s="39" t="s">
        <v>1366</v>
      </c>
      <c r="C17" s="39">
        <v>8</v>
      </c>
      <c r="D17" s="66" t="s">
        <v>508</v>
      </c>
      <c r="E17" s="66" t="str">
        <f>LOOKUP(D17,Reference!$B$33:$B$46,Reference!$C$33:$C$46)</f>
        <v>None</v>
      </c>
      <c r="F17" s="66" t="s">
        <v>508</v>
      </c>
      <c r="G17" s="66" t="str">
        <f>LOOKUP(F17,Reference!$D$32:$D$55,Reference!$E$32:$E$55)</f>
        <v>None</v>
      </c>
      <c r="H17" s="66" t="s">
        <v>361</v>
      </c>
      <c r="I17" s="57" t="str">
        <f>IF(OR(E17="V",G17="V"),"V",IF(AND(E17="None",G17="None"),"None",(IF(E17="None",0,E17)+IF(G17="None",0,G17)+IF(H17="Yes",CharacterSheet!$V$34,0))))</f>
        <v>None</v>
      </c>
      <c r="J17" s="57" t="s">
        <v>361</v>
      </c>
      <c r="K17" s="66">
        <f>IF(J17="no",0,IF(OR(F17="None",F17="Cheval",F17="Legend",F17="Mystery",F17="Prophecy",F17="TsukumoGami"),0,IF(F17="Varies","V",IF(AND(G17=0,CharacterSheet!$R$36="No"),0,IF(AND(G17=0,CharacterSheet!$R$36="Yes"),LOOKUP(D17,Reference!$N$2:$N$10,Reference!$O$2:$O$10),IF(G17&gt;0,LOOKUP(D17,Reference!$N$2:$N$10,Reference!$P$2:$P$10),"ERROR"))))))</f>
        <v>0</v>
      </c>
      <c r="L17" s="66" t="s">
        <v>361</v>
      </c>
      <c r="M17" s="66">
        <f>IF(E17="V","V",IF(J17="Yes",K17,0)+IF(L17="Yes",CharacterSheet!D353,0))</f>
        <v>0</v>
      </c>
      <c r="N17" s="66" t="s">
        <v>1075</v>
      </c>
      <c r="O17" s="66" t="s">
        <v>508</v>
      </c>
      <c r="P17" s="66" t="s">
        <v>1068</v>
      </c>
      <c r="Q17" s="188">
        <v>70</v>
      </c>
    </row>
    <row r="18" spans="1:17" x14ac:dyDescent="0.25">
      <c r="A18" s="86" t="s">
        <v>1419</v>
      </c>
      <c r="B18" s="39" t="s">
        <v>115</v>
      </c>
      <c r="C18" s="39">
        <v>4</v>
      </c>
      <c r="D18" s="66" t="s">
        <v>20</v>
      </c>
      <c r="E18" s="66">
        <f>LOOKUP(D18,Reference!$B$33:$B$46,Reference!$C$33:$C$46)</f>
        <v>1</v>
      </c>
      <c r="F18" s="66" t="s">
        <v>47</v>
      </c>
      <c r="G18" s="66">
        <f>LOOKUP(F18,Reference!$D$32:$D$55,Reference!$E$32:$E$55)</f>
        <v>0</v>
      </c>
      <c r="H18" s="66" t="s">
        <v>361</v>
      </c>
      <c r="I18" s="57">
        <f>IF(OR(E18="V",G18="V"),"V",IF(AND(E18="None",G18="None"),"None",(IF(E18="None",0,E18)+IF(G18="None",0,G18)+IF(H18="Yes",CharacterSheet!$V$34,0))))</f>
        <v>1</v>
      </c>
      <c r="J18" s="57" t="s">
        <v>360</v>
      </c>
      <c r="K18" s="66">
        <f>IF(J18="no",0,IF(OR(F18="None",F18="Cheval",F18="Legend",F18="Mystery",F18="Prophecy",F18="TsukumoGami"),0,IF(F18="Varies","V",IF(AND(G18=0,CharacterSheet!$R$36="No"),0,IF(AND(G18=0,CharacterSheet!$R$36="Yes"),LOOKUP(D18,Reference!$N$2:$N$10,Reference!$O$2:$O$10),IF(G18&gt;0,LOOKUP(D18,Reference!$N$2:$N$10,Reference!$P$2:$P$10),"ERROR"))))))</f>
        <v>0</v>
      </c>
      <c r="L18" s="66" t="s">
        <v>361</v>
      </c>
      <c r="M18" s="66">
        <f>IF(E18="V","V",IF(J18="Yes",K18,0)+IF(L18="Yes",CharacterSheet!D107,0))</f>
        <v>0</v>
      </c>
      <c r="N18" s="66" t="s">
        <v>1072</v>
      </c>
      <c r="O18" s="66" t="s">
        <v>1608</v>
      </c>
      <c r="P18" s="66" t="s">
        <v>1068</v>
      </c>
      <c r="Q18" s="188">
        <v>75</v>
      </c>
    </row>
    <row r="19" spans="1:17" x14ac:dyDescent="0.25">
      <c r="A19" s="86" t="s">
        <v>1294</v>
      </c>
      <c r="B19" s="39" t="s">
        <v>373</v>
      </c>
      <c r="C19" s="39">
        <v>8</v>
      </c>
      <c r="D19" s="66" t="s">
        <v>19</v>
      </c>
      <c r="E19" s="66">
        <f>LOOKUP(D19,Reference!$B$33:$B$46,Reference!$C$33:$C$46)</f>
        <v>1</v>
      </c>
      <c r="F19" s="66" t="s">
        <v>41</v>
      </c>
      <c r="G19" s="66">
        <f>LOOKUP(F19,Reference!$D$32:$D$55,Reference!$E$32:$E$55)</f>
        <v>0</v>
      </c>
      <c r="H19" s="66" t="s">
        <v>361</v>
      </c>
      <c r="I19" s="57">
        <f>IF(OR(E19="V",G19="V"),"V",IF(AND(E19="None",G19="None"),"None",(IF(E19="None",0,E19)+IF(G19="None",0,G19)+IF(H19="Yes",CharacterSheet!$V$34,0))))</f>
        <v>1</v>
      </c>
      <c r="J19" s="57" t="s">
        <v>360</v>
      </c>
      <c r="K19" s="66">
        <f>IF(J19="no",0,IF(OR(F19="None",F19="Cheval",F19="Legend",F19="Mystery",F19="Prophecy",F19="TsukumoGami"),0,IF(F19="Varies","V",IF(AND(G19=0,CharacterSheet!$R$36="No"),0,IF(AND(G19=0,CharacterSheet!$R$36="Yes"),LOOKUP(D19,Reference!$N$2:$N$10,Reference!$O$2:$O$10),IF(G19&gt;0,LOOKUP(D19,Reference!$N$2:$N$10,Reference!$P$2:$P$10),"ERROR"))))))</f>
        <v>0</v>
      </c>
      <c r="L19" s="66" t="s">
        <v>361</v>
      </c>
      <c r="M19" s="66">
        <f>IF(E19="V","V",IF(J19="Yes",K19,0)+IF(L19="Yes",CharacterSheet!D70,0))</f>
        <v>0</v>
      </c>
      <c r="N19" s="66" t="s">
        <v>1653</v>
      </c>
      <c r="O19" s="66" t="s">
        <v>1548</v>
      </c>
      <c r="P19" s="66" t="s">
        <v>5</v>
      </c>
      <c r="Q19" s="188">
        <v>91</v>
      </c>
    </row>
    <row r="20" spans="1:17" x14ac:dyDescent="0.25">
      <c r="A20" s="86" t="s">
        <v>1135</v>
      </c>
      <c r="B20" s="39" t="s">
        <v>87</v>
      </c>
      <c r="C20" s="39">
        <v>1</v>
      </c>
      <c r="D20" s="66" t="s">
        <v>508</v>
      </c>
      <c r="E20" s="66" t="str">
        <f>LOOKUP(D20,Reference!$B$33:$B$46,Reference!$C$33:$C$46)</f>
        <v>None</v>
      </c>
      <c r="F20" s="66" t="s">
        <v>508</v>
      </c>
      <c r="G20" s="66" t="str">
        <f>LOOKUP(F20,Reference!$D$32:$D$55,Reference!$E$32:$E$55)</f>
        <v>None</v>
      </c>
      <c r="H20" s="66" t="s">
        <v>361</v>
      </c>
      <c r="I20" s="57" t="str">
        <f>IF(OR(E20="V",G20="V"),"V",IF(AND(E20="None",G20="None"),"None",(IF(E20="None",0,E20)+IF(G20="None",0,G20)+IF(H20="Yes",CharacterSheet!$V$34,0))))</f>
        <v>None</v>
      </c>
      <c r="J20" s="57" t="s">
        <v>361</v>
      </c>
      <c r="K20" s="66">
        <f>IF(J20="no",0,IF(OR(F20="None",F20="Cheval",F20="Legend",F20="Mystery",F20="Prophecy",F20="TsukumoGami"),0,IF(F20="Varies","V",IF(AND(G20=0,CharacterSheet!$R$36="No"),0,IF(AND(G20=0,CharacterSheet!$R$36="Yes"),LOOKUP(D20,Reference!$N$2:$N$10,Reference!$O$2:$O$10),IF(G20&gt;0,LOOKUP(D20,Reference!$N$2:$N$10,Reference!$P$2:$P$10),"ERROR"))))))</f>
        <v>0</v>
      </c>
      <c r="L20" s="66" t="s">
        <v>361</v>
      </c>
      <c r="M20" s="66">
        <f>IF(E20="V","V",IF(J20="Yes",K20,0)+IF(L20="Yes",CharacterSheet!D264,0))</f>
        <v>0</v>
      </c>
      <c r="N20" s="66" t="s">
        <v>1799</v>
      </c>
      <c r="O20" s="66" t="s">
        <v>1799</v>
      </c>
      <c r="P20" s="66" t="s">
        <v>141</v>
      </c>
      <c r="Q20" s="188">
        <v>149</v>
      </c>
    </row>
    <row r="21" spans="1:17" x14ac:dyDescent="0.25">
      <c r="A21" s="86" t="s">
        <v>1331</v>
      </c>
      <c r="B21" s="39" t="s">
        <v>87</v>
      </c>
      <c r="C21" s="39">
        <v>10</v>
      </c>
      <c r="D21" s="66" t="s">
        <v>508</v>
      </c>
      <c r="E21" s="66" t="str">
        <f>LOOKUP(D21,Reference!$B$33:$B$46,Reference!$C$33:$C$46)</f>
        <v>None</v>
      </c>
      <c r="F21" s="66" t="s">
        <v>508</v>
      </c>
      <c r="G21" s="66" t="str">
        <f>LOOKUP(F21,Reference!$D$32:$D$55,Reference!$E$32:$E$55)</f>
        <v>None</v>
      </c>
      <c r="H21" s="66" t="s">
        <v>361</v>
      </c>
      <c r="I21" s="57" t="str">
        <f>IF(OR(E21="V",G21="V"),"V",IF(AND(E21="None",G21="None"),"None",(IF(E21="None",0,E21)+IF(G21="None",0,G21)+IF(H21="Yes",CharacterSheet!$V$34,0))))</f>
        <v>None</v>
      </c>
      <c r="J21" s="57" t="s">
        <v>361</v>
      </c>
      <c r="K21" s="66">
        <f>IF(J21="no",0,IF(OR(F21="None",F21="Cheval",F21="Legend",F21="Mystery",F21="Prophecy",F21="TsukumoGami"),0,IF(F21="Varies","V",IF(AND(G21=0,CharacterSheet!$R$36="No"),0,IF(AND(G21=0,CharacterSheet!$R$36="Yes"),LOOKUP(D21,Reference!$N$2:$N$10,Reference!$O$2:$O$10),IF(G21&gt;0,LOOKUP(D21,Reference!$N$2:$N$10,Reference!$P$2:$P$10),"ERROR"))))))</f>
        <v>0</v>
      </c>
      <c r="L21" s="66" t="s">
        <v>361</v>
      </c>
      <c r="M21" s="66">
        <f>IF(E21="V","V",IF(J21="Yes",K21,0)+IF(L21="Yes",CharacterSheet!D256,0))</f>
        <v>0</v>
      </c>
      <c r="N21" s="66" t="s">
        <v>1799</v>
      </c>
      <c r="O21" s="66" t="s">
        <v>1799</v>
      </c>
      <c r="P21" s="66" t="s">
        <v>5</v>
      </c>
      <c r="Q21" s="188">
        <v>104</v>
      </c>
    </row>
    <row r="22" spans="1:17" x14ac:dyDescent="0.25">
      <c r="A22" s="86" t="s">
        <v>1136</v>
      </c>
      <c r="B22" s="39" t="s">
        <v>87</v>
      </c>
      <c r="C22" s="39">
        <v>2</v>
      </c>
      <c r="D22" s="66" t="s">
        <v>508</v>
      </c>
      <c r="E22" s="66" t="str">
        <f>LOOKUP(D22,Reference!$B$33:$B$46,Reference!$C$33:$C$46)</f>
        <v>None</v>
      </c>
      <c r="F22" s="66" t="s">
        <v>508</v>
      </c>
      <c r="G22" s="66" t="str">
        <f>LOOKUP(F22,Reference!$D$32:$D$55,Reference!$E$32:$E$55)</f>
        <v>None</v>
      </c>
      <c r="H22" s="66" t="s">
        <v>361</v>
      </c>
      <c r="I22" s="57" t="str">
        <f>IF(OR(E22="V",G22="V"),"V",IF(AND(E22="None",G22="None"),"None",(IF(E22="None",0,E22)+IF(G22="None",0,G22)+IF(H22="Yes",CharacterSheet!$V$34,0))))</f>
        <v>None</v>
      </c>
      <c r="J22" s="57" t="s">
        <v>361</v>
      </c>
      <c r="K22" s="66">
        <f>IF(J22="no",0,IF(OR(F22="None",F22="Cheval",F22="Legend",F22="Mystery",F22="Prophecy",F22="TsukumoGami"),0,IF(F22="Varies","V",IF(AND(G22=0,CharacterSheet!$R$36="No"),0,IF(AND(G22=0,CharacterSheet!$R$36="Yes"),LOOKUP(D22,Reference!$N$2:$N$10,Reference!$O$2:$O$10),IF(G22&gt;0,LOOKUP(D22,Reference!$N$2:$N$10,Reference!$P$2:$P$10),"ERROR"))))))</f>
        <v>0</v>
      </c>
      <c r="L22" s="66" t="s">
        <v>361</v>
      </c>
      <c r="M22" s="66">
        <f>IF(E22="V","V",IF(J22="Yes",K22,0)+IF(L22="Yes",CharacterSheet!D401,0))</f>
        <v>0</v>
      </c>
      <c r="N22" s="66" t="s">
        <v>1799</v>
      </c>
      <c r="O22" s="66" t="s">
        <v>1799</v>
      </c>
      <c r="P22" s="66" t="s">
        <v>141</v>
      </c>
      <c r="Q22" s="188">
        <v>149</v>
      </c>
    </row>
    <row r="23" spans="1:17" x14ac:dyDescent="0.25">
      <c r="A23" s="86" t="s">
        <v>1137</v>
      </c>
      <c r="B23" s="39" t="s">
        <v>87</v>
      </c>
      <c r="C23" s="39">
        <v>3</v>
      </c>
      <c r="D23" s="66" t="s">
        <v>508</v>
      </c>
      <c r="E23" s="66" t="str">
        <f>LOOKUP(D23,Reference!$B$33:$B$46,Reference!$C$33:$C$46)</f>
        <v>None</v>
      </c>
      <c r="F23" s="66" t="s">
        <v>508</v>
      </c>
      <c r="G23" s="66" t="str">
        <f>LOOKUP(F23,Reference!$D$32:$D$55,Reference!$E$32:$E$55)</f>
        <v>None</v>
      </c>
      <c r="H23" s="66" t="s">
        <v>361</v>
      </c>
      <c r="I23" s="57" t="str">
        <f>IF(OR(E23="V",G23="V"),"V",IF(AND(E23="None",G23="None"),"None",(IF(E23="None",0,E23)+IF(G23="None",0,G23)+IF(H23="Yes",CharacterSheet!$V$34,0))))</f>
        <v>None</v>
      </c>
      <c r="J23" s="57" t="s">
        <v>361</v>
      </c>
      <c r="K23" s="66">
        <f>IF(J23="no",0,IF(OR(F23="None",F23="Cheval",F23="Legend",F23="Mystery",F23="Prophecy",F23="TsukumoGami"),0,IF(F23="Varies","V",IF(AND(G23=0,CharacterSheet!$R$36="No"),0,IF(AND(G23=0,CharacterSheet!$R$36="Yes"),LOOKUP(D23,Reference!$N$2:$N$10,Reference!$O$2:$O$10),IF(G23&gt;0,LOOKUP(D23,Reference!$N$2:$N$10,Reference!$P$2:$P$10),"ERROR"))))))</f>
        <v>0</v>
      </c>
      <c r="L23" s="66" t="s">
        <v>361</v>
      </c>
      <c r="M23" s="66">
        <f>IF(E23="V","V",IF(J23="Yes",K23,0)+IF(L23="Yes",CharacterSheet!D366,0))</f>
        <v>0</v>
      </c>
      <c r="N23" s="66" t="s">
        <v>1799</v>
      </c>
      <c r="O23" s="66" t="s">
        <v>1799</v>
      </c>
      <c r="P23" s="66" t="s">
        <v>141</v>
      </c>
      <c r="Q23" s="188">
        <v>149</v>
      </c>
    </row>
    <row r="24" spans="1:17" x14ac:dyDescent="0.25">
      <c r="A24" s="86" t="s">
        <v>1230</v>
      </c>
      <c r="B24" s="39" t="s">
        <v>87</v>
      </c>
      <c r="C24" s="39">
        <v>4</v>
      </c>
      <c r="D24" s="66" t="s">
        <v>508</v>
      </c>
      <c r="E24" s="66" t="str">
        <f>LOOKUP(D24,Reference!$B$33:$B$46,Reference!$C$33:$C$46)</f>
        <v>None</v>
      </c>
      <c r="F24" s="66" t="s">
        <v>508</v>
      </c>
      <c r="G24" s="66" t="str">
        <f>LOOKUP(F24,Reference!$D$32:$D$55,Reference!$E$32:$E$55)</f>
        <v>None</v>
      </c>
      <c r="H24" s="66" t="s">
        <v>361</v>
      </c>
      <c r="I24" s="57" t="str">
        <f>IF(OR(E24="V",G24="V"),"V",IF(AND(E24="None",G24="None"),"None",(IF(E24="None",0,E24)+IF(G24="None",0,G24)+IF(H24="Yes",CharacterSheet!$V$34,0))))</f>
        <v>None</v>
      </c>
      <c r="J24" s="57" t="s">
        <v>361</v>
      </c>
      <c r="K24" s="66">
        <f>IF(J24="no",0,IF(OR(F24="None",F24="Cheval",F24="Legend",F24="Mystery",F24="Prophecy",F24="TsukumoGami"),0,IF(F24="Varies","V",IF(AND(G24=0,CharacterSheet!$R$36="No"),0,IF(AND(G24=0,CharacterSheet!$R$36="Yes"),LOOKUP(D24,Reference!$N$2:$N$10,Reference!$O$2:$O$10),IF(G24&gt;0,LOOKUP(D24,Reference!$N$2:$N$10,Reference!$P$2:$P$10),"ERROR"))))))</f>
        <v>0</v>
      </c>
      <c r="L24" s="66" t="s">
        <v>361</v>
      </c>
      <c r="M24" s="66">
        <f>IF(E24="V","V",IF(J24="Yes",K24,0)+IF(L24="Yes",CharacterSheet!D117,0))</f>
        <v>0</v>
      </c>
      <c r="N24" s="66" t="s">
        <v>1799</v>
      </c>
      <c r="O24" s="66" t="s">
        <v>1799</v>
      </c>
      <c r="P24" s="66" t="s">
        <v>1067</v>
      </c>
      <c r="Q24" s="188">
        <v>91</v>
      </c>
    </row>
    <row r="25" spans="1:17" x14ac:dyDescent="0.25">
      <c r="A25" s="86" t="s">
        <v>1231</v>
      </c>
      <c r="B25" s="39" t="s">
        <v>87</v>
      </c>
      <c r="C25" s="39">
        <v>5</v>
      </c>
      <c r="D25" s="66" t="s">
        <v>508</v>
      </c>
      <c r="E25" s="66" t="str">
        <f>LOOKUP(D25,Reference!$B$33:$B$46,Reference!$C$33:$C$46)</f>
        <v>None</v>
      </c>
      <c r="F25" s="66" t="s">
        <v>508</v>
      </c>
      <c r="G25" s="66" t="str">
        <f>LOOKUP(F25,Reference!$D$32:$D$55,Reference!$E$32:$E$55)</f>
        <v>None</v>
      </c>
      <c r="H25" s="66" t="s">
        <v>361</v>
      </c>
      <c r="I25" s="57" t="str">
        <f>IF(OR(E25="V",G25="V"),"V",IF(AND(E25="None",G25="None"),"None",(IF(E25="None",0,E25)+IF(G25="None",0,G25)+IF(H25="Yes",CharacterSheet!$V$34,0))))</f>
        <v>None</v>
      </c>
      <c r="J25" s="57" t="s">
        <v>361</v>
      </c>
      <c r="K25" s="66">
        <f>IF(J25="no",0,IF(OR(F25="None",F25="Cheval",F25="Legend",F25="Mystery",F25="Prophecy",F25="TsukumoGami"),0,IF(F25="Varies","V",IF(AND(G25=0,CharacterSheet!$R$36="No"),0,IF(AND(G25=0,CharacterSheet!$R$36="Yes"),LOOKUP(D25,Reference!$N$2:$N$10,Reference!$O$2:$O$10),IF(G25&gt;0,LOOKUP(D25,Reference!$N$2:$N$10,Reference!$P$2:$P$10),"ERROR"))))))</f>
        <v>0</v>
      </c>
      <c r="L25" s="66" t="s">
        <v>361</v>
      </c>
      <c r="M25" s="66">
        <f>IF(E25="V","V",IF(J25="Yes",K25,0)+IF(L25="Yes",CharacterSheet!D250,0))</f>
        <v>0</v>
      </c>
      <c r="N25" s="66" t="s">
        <v>1799</v>
      </c>
      <c r="O25" s="66" t="s">
        <v>1799</v>
      </c>
      <c r="P25" s="66" t="s">
        <v>1067</v>
      </c>
      <c r="Q25" s="188">
        <v>91</v>
      </c>
    </row>
    <row r="26" spans="1:17" x14ac:dyDescent="0.25">
      <c r="A26" s="86" t="s">
        <v>1232</v>
      </c>
      <c r="B26" s="39" t="s">
        <v>87</v>
      </c>
      <c r="C26" s="39">
        <v>6</v>
      </c>
      <c r="D26" s="66" t="s">
        <v>508</v>
      </c>
      <c r="E26" s="66" t="str">
        <f>LOOKUP(D26,Reference!$B$33:$B$46,Reference!$C$33:$C$46)</f>
        <v>None</v>
      </c>
      <c r="F26" s="66" t="s">
        <v>508</v>
      </c>
      <c r="G26" s="66" t="str">
        <f>LOOKUP(F26,Reference!$D$32:$D$55,Reference!$E$32:$E$55)</f>
        <v>None</v>
      </c>
      <c r="H26" s="66" t="s">
        <v>361</v>
      </c>
      <c r="I26" s="57" t="str">
        <f>IF(OR(E26="V",G26="V"),"V",IF(AND(E26="None",G26="None"),"None",(IF(E26="None",0,E26)+IF(G26="None",0,G26)+IF(H26="Yes",CharacterSheet!$V$34,0))))</f>
        <v>None</v>
      </c>
      <c r="J26" s="57" t="s">
        <v>361</v>
      </c>
      <c r="K26" s="66">
        <f>IF(J26="no",0,IF(OR(F26="None",F26="Cheval",F26="Legend",F26="Mystery",F26="Prophecy",F26="TsukumoGami"),0,IF(F26="Varies","V",IF(AND(G26=0,CharacterSheet!$R$36="No"),0,IF(AND(G26=0,CharacterSheet!$R$36="Yes"),LOOKUP(D26,Reference!$N$2:$N$10,Reference!$O$2:$O$10),IF(G26&gt;0,LOOKUP(D26,Reference!$N$2:$N$10,Reference!$P$2:$P$10),"ERROR"))))))</f>
        <v>0</v>
      </c>
      <c r="L26" s="66" t="s">
        <v>361</v>
      </c>
      <c r="M26" s="66">
        <f>IF(E26="V","V",IF(J26="Yes",K26,0)+IF(L26="Yes",CharacterSheet!D396,0))</f>
        <v>0</v>
      </c>
      <c r="N26" s="66" t="s">
        <v>1799</v>
      </c>
      <c r="O26" s="66" t="s">
        <v>1799</v>
      </c>
      <c r="P26" s="66" t="s">
        <v>1067</v>
      </c>
      <c r="Q26" s="188">
        <v>91</v>
      </c>
    </row>
    <row r="27" spans="1:17" x14ac:dyDescent="0.25">
      <c r="A27" s="86" t="s">
        <v>1233</v>
      </c>
      <c r="B27" s="39" t="s">
        <v>87</v>
      </c>
      <c r="C27" s="39">
        <v>7</v>
      </c>
      <c r="D27" s="66" t="s">
        <v>508</v>
      </c>
      <c r="E27" s="66" t="str">
        <f>LOOKUP(D27,Reference!$B$33:$B$46,Reference!$C$33:$C$46)</f>
        <v>None</v>
      </c>
      <c r="F27" s="66" t="s">
        <v>508</v>
      </c>
      <c r="G27" s="66" t="str">
        <f>LOOKUP(F27,Reference!$D$32:$D$55,Reference!$E$32:$E$55)</f>
        <v>None</v>
      </c>
      <c r="H27" s="66" t="s">
        <v>361</v>
      </c>
      <c r="I27" s="57" t="str">
        <f>IF(OR(E27="V",G27="V"),"V",IF(AND(E27="None",G27="None"),"None",(IF(E27="None",0,E27)+IF(G27="None",0,G27)+IF(H27="Yes",CharacterSheet!$V$34,0))))</f>
        <v>None</v>
      </c>
      <c r="J27" s="57" t="s">
        <v>361</v>
      </c>
      <c r="K27" s="66">
        <f>IF(J27="no",0,IF(OR(F27="None",F27="Cheval",F27="Legend",F27="Mystery",F27="Prophecy",F27="TsukumoGami"),0,IF(F27="Varies","V",IF(AND(G27=0,CharacterSheet!$R$36="No"),0,IF(AND(G27=0,CharacterSheet!$R$36="Yes"),LOOKUP(D27,Reference!$N$2:$N$10,Reference!$O$2:$O$10),IF(G27&gt;0,LOOKUP(D27,Reference!$N$2:$N$10,Reference!$P$2:$P$10),"ERROR"))))))</f>
        <v>0</v>
      </c>
      <c r="L27" s="66" t="s">
        <v>361</v>
      </c>
      <c r="M27" s="66">
        <f>IF(E27="V","V",IF(J27="Yes",K27,0)+IF(L27="Yes",CharacterSheet!D182,0))</f>
        <v>0</v>
      </c>
      <c r="N27" s="66" t="s">
        <v>1799</v>
      </c>
      <c r="O27" s="66" t="s">
        <v>1799</v>
      </c>
      <c r="P27" s="66" t="s">
        <v>1067</v>
      </c>
      <c r="Q27" s="188">
        <v>91</v>
      </c>
    </row>
    <row r="28" spans="1:17" x14ac:dyDescent="0.25">
      <c r="A28" s="86" t="s">
        <v>1329</v>
      </c>
      <c r="B28" s="39" t="s">
        <v>87</v>
      </c>
      <c r="C28" s="39">
        <v>8</v>
      </c>
      <c r="D28" s="66" t="s">
        <v>508</v>
      </c>
      <c r="E28" s="66" t="str">
        <f>LOOKUP(D28,Reference!$B$33:$B$46,Reference!$C$33:$C$46)</f>
        <v>None</v>
      </c>
      <c r="F28" s="66" t="s">
        <v>508</v>
      </c>
      <c r="G28" s="66" t="str">
        <f>LOOKUP(F28,Reference!$D$32:$D$55,Reference!$E$32:$E$55)</f>
        <v>None</v>
      </c>
      <c r="H28" s="66" t="s">
        <v>361</v>
      </c>
      <c r="I28" s="57" t="str">
        <f>IF(OR(E28="V",G28="V"),"V",IF(AND(E28="None",G28="None"),"None",(IF(E28="None",0,E28)+IF(G28="None",0,G28)+IF(H28="Yes",CharacterSheet!$V$34,0))))</f>
        <v>None</v>
      </c>
      <c r="J28" s="57" t="s">
        <v>361</v>
      </c>
      <c r="K28" s="66">
        <f>IF(J28="no",0,IF(OR(F28="None",F28="Cheval",F28="Legend",F28="Mystery",F28="Prophecy",F28="TsukumoGami"),0,IF(F28="Varies","V",IF(AND(G28=0,CharacterSheet!$R$36="No"),0,IF(AND(G28=0,CharacterSheet!$R$36="Yes"),LOOKUP(D28,Reference!$N$2:$N$10,Reference!$O$2:$O$10),IF(G28&gt;0,LOOKUP(D28,Reference!$N$2:$N$10,Reference!$P$2:$P$10),"ERROR"))))))</f>
        <v>0</v>
      </c>
      <c r="L28" s="66" t="s">
        <v>361</v>
      </c>
      <c r="M28" s="66">
        <f>IF(E28="V","V",IF(J28="Yes",K28,0)+IF(L28="Yes",CharacterSheet!D79,0))</f>
        <v>0</v>
      </c>
      <c r="N28" s="66" t="s">
        <v>1799</v>
      </c>
      <c r="O28" s="66" t="s">
        <v>1799</v>
      </c>
      <c r="P28" s="66" t="s">
        <v>5</v>
      </c>
      <c r="Q28" s="188">
        <v>104</v>
      </c>
    </row>
    <row r="29" spans="1:17" x14ac:dyDescent="0.25">
      <c r="A29" s="86" t="s">
        <v>1330</v>
      </c>
      <c r="B29" s="39" t="s">
        <v>87</v>
      </c>
      <c r="C29" s="39">
        <v>9</v>
      </c>
      <c r="D29" s="66" t="s">
        <v>508</v>
      </c>
      <c r="E29" s="66" t="str">
        <f>LOOKUP(D29,Reference!$B$33:$B$46,Reference!$C$33:$C$46)</f>
        <v>None</v>
      </c>
      <c r="F29" s="66" t="s">
        <v>508</v>
      </c>
      <c r="G29" s="66" t="str">
        <f>LOOKUP(F29,Reference!$D$32:$D$55,Reference!$E$32:$E$55)</f>
        <v>None</v>
      </c>
      <c r="H29" s="66" t="s">
        <v>361</v>
      </c>
      <c r="I29" s="57" t="str">
        <f>IF(OR(E29="V",G29="V"),"V",IF(AND(E29="None",G29="None"),"None",(IF(E29="None",0,E29)+IF(G29="None",0,G29)+IF(H29="Yes",CharacterSheet!$V$34,0))))</f>
        <v>None</v>
      </c>
      <c r="J29" s="57" t="s">
        <v>361</v>
      </c>
      <c r="K29" s="66">
        <f>IF(J29="no",0,IF(OR(F29="None",F29="Cheval",F29="Legend",F29="Mystery",F29="Prophecy",F29="TsukumoGami"),0,IF(F29="Varies","V",IF(AND(G29=0,CharacterSheet!$R$36="No"),0,IF(AND(G29=0,CharacterSheet!$R$36="Yes"),LOOKUP(D29,Reference!$N$2:$N$10,Reference!$O$2:$O$10),IF(G29&gt;0,LOOKUP(D29,Reference!$N$2:$N$10,Reference!$P$2:$P$10),"ERROR"))))))</f>
        <v>0</v>
      </c>
      <c r="L29" s="66" t="s">
        <v>361</v>
      </c>
      <c r="M29" s="66">
        <f>IF(E29="V","V",IF(J29="Yes",K29,0)+IF(L29="Yes",CharacterSheet!D399,0))</f>
        <v>0</v>
      </c>
      <c r="N29" s="66" t="s">
        <v>1799</v>
      </c>
      <c r="O29" s="66" t="s">
        <v>1799</v>
      </c>
      <c r="P29" s="66" t="s">
        <v>5</v>
      </c>
      <c r="Q29" s="188">
        <v>104</v>
      </c>
    </row>
    <row r="30" spans="1:17" x14ac:dyDescent="0.25">
      <c r="A30" s="86" t="s">
        <v>1153</v>
      </c>
      <c r="B30" s="39" t="s">
        <v>385</v>
      </c>
      <c r="C30" s="39">
        <v>1</v>
      </c>
      <c r="D30" s="66" t="s">
        <v>19</v>
      </c>
      <c r="E30" s="66">
        <f>LOOKUP(D30,Reference!$B$33:$B$46,Reference!$C$33:$C$46)</f>
        <v>1</v>
      </c>
      <c r="F30" s="66" t="s">
        <v>53</v>
      </c>
      <c r="G30" s="66">
        <f>LOOKUP(F30,Reference!$D$32:$D$55,Reference!$E$32:$E$55)</f>
        <v>0</v>
      </c>
      <c r="H30" s="66" t="s">
        <v>361</v>
      </c>
      <c r="I30" s="57">
        <f>IF(OR(E30="V",G30="V"),"V",IF(AND(E30="None",G30="None"),"None",(IF(E30="None",0,E30)+IF(G30="None",0,G30)+IF(H30="Yes",CharacterSheet!$V$34,0))))</f>
        <v>1</v>
      </c>
      <c r="J30" s="57" t="s">
        <v>360</v>
      </c>
      <c r="K30" s="66">
        <f>IF(J30="no",0,IF(OR(F30="None",F30="Cheval",F30="Legend",F30="Mystery",F30="Prophecy",F30="TsukumoGami"),0,IF(F30="Varies","V",IF(AND(G30=0,CharacterSheet!$R$36="No"),0,IF(AND(G30=0,CharacterSheet!$R$36="Yes"),LOOKUP(D30,Reference!$N$2:$N$10,Reference!$O$2:$O$10),IF(G30&gt;0,LOOKUP(D30,Reference!$N$2:$N$10,Reference!$P$2:$P$10),"ERROR"))))))</f>
        <v>0</v>
      </c>
      <c r="L30" s="66" t="s">
        <v>361</v>
      </c>
      <c r="M30" s="66">
        <f>IF(E30="V","V",IF(J30="Yes",K30,0)+IF(L30="Yes",CharacterSheet!D379,0))</f>
        <v>0</v>
      </c>
      <c r="N30" s="66" t="s">
        <v>1072</v>
      </c>
      <c r="O30" s="66" t="s">
        <v>1573</v>
      </c>
      <c r="P30" s="66" t="s">
        <v>141</v>
      </c>
      <c r="Q30" s="188">
        <v>154</v>
      </c>
    </row>
    <row r="31" spans="1:17" x14ac:dyDescent="0.25">
      <c r="A31" s="86" t="s">
        <v>1224</v>
      </c>
      <c r="B31" s="39" t="s">
        <v>380</v>
      </c>
      <c r="C31" s="39">
        <v>6</v>
      </c>
      <c r="D31" s="66" t="s">
        <v>14</v>
      </c>
      <c r="E31" s="66">
        <f>LOOKUP(D31,Reference!$B$33:$B$46,Reference!$C$33:$C$46)</f>
        <v>1</v>
      </c>
      <c r="F31" s="66" t="s">
        <v>40</v>
      </c>
      <c r="G31" s="66">
        <f>LOOKUP(F31,Reference!$D$32:$D$55,Reference!$E$32:$E$55)</f>
        <v>0</v>
      </c>
      <c r="H31" s="66" t="s">
        <v>361</v>
      </c>
      <c r="I31" s="57">
        <f>IF(OR(E31="V",G31="V"),"V",IF(AND(E31="None",G31="None"),"None",(IF(E31="None",0,E31)+IF(G31="None",0,G31)+IF(H31="Yes",CharacterSheet!$V$34,0))))</f>
        <v>1</v>
      </c>
      <c r="J31" s="57" t="s">
        <v>360</v>
      </c>
      <c r="K31" s="66">
        <f>IF(J31="no",0,IF(OR(F31="None",F31="Cheval",F31="Legend",F31="Mystery",F31="Prophecy",F31="TsukumoGami"),0,IF(F31="Varies","V",IF(AND(G31=0,CharacterSheet!$R$36="No"),0,IF(AND(G31=0,CharacterSheet!$R$36="Yes"),LOOKUP(D31,Reference!$N$2:$N$10,Reference!$O$2:$O$10),IF(G31&gt;0,LOOKUP(D31,Reference!$N$2:$N$10,Reference!$P$2:$P$10),"ERROR"))))))</f>
        <v>0</v>
      </c>
      <c r="L31" s="66" t="s">
        <v>361</v>
      </c>
      <c r="M31" s="66">
        <f>IF(E31="V","V",IF(J31="Yes",K31,0)+IF(L31="Yes",CharacterSheet!D270,0))</f>
        <v>0</v>
      </c>
      <c r="N31" s="66" t="s">
        <v>1591</v>
      </c>
      <c r="O31" s="66" t="s">
        <v>1615</v>
      </c>
      <c r="P31" s="66" t="s">
        <v>1067</v>
      </c>
      <c r="Q31" s="188">
        <v>89</v>
      </c>
    </row>
    <row r="32" spans="1:17" x14ac:dyDescent="0.25">
      <c r="A32" s="86" t="s">
        <v>1495</v>
      </c>
      <c r="B32" s="66" t="s">
        <v>192</v>
      </c>
      <c r="C32" s="39">
        <v>10</v>
      </c>
      <c r="D32" s="66" t="s">
        <v>508</v>
      </c>
      <c r="E32" s="66" t="str">
        <f>LOOKUP(D32,Reference!$B$33:$B$46,Reference!$C$33:$C$46)</f>
        <v>None</v>
      </c>
      <c r="F32" s="66" t="s">
        <v>508</v>
      </c>
      <c r="G32" s="66" t="str">
        <f>LOOKUP(F32,Reference!$D$32:$D$55,Reference!$E$32:$E$55)</f>
        <v>None</v>
      </c>
      <c r="H32" s="66" t="s">
        <v>361</v>
      </c>
      <c r="I32" s="57" t="str">
        <f>IF(OR(E32="V",G32="V"),"V",IF(AND(E32="None",G32="None"),"None",(IF(E32="None",0,E32)+IF(G32="None",0,G32)+IF(H32="Yes",CharacterSheet!$V$34,0))))</f>
        <v>None</v>
      </c>
      <c r="J32" s="57" t="s">
        <v>361</v>
      </c>
      <c r="K32" s="66">
        <f>IF(J32="no",0,IF(OR(F32="None",F32="Cheval",F32="Legend",F32="Mystery",F32="Prophecy",F32="TsukumoGami"),0,IF(F32="Varies","V",IF(AND(G32=0,CharacterSheet!$R$36="No"),0,IF(AND(G32=0,CharacterSheet!$R$36="Yes"),LOOKUP(D32,Reference!$N$2:$N$10,Reference!$O$2:$O$10),IF(G32&gt;0,LOOKUP(D32,Reference!$N$2:$N$10,Reference!$P$2:$P$10),"ERROR"))))))</f>
        <v>0</v>
      </c>
      <c r="L32" s="66" t="s">
        <v>361</v>
      </c>
      <c r="M32" s="66">
        <f>IF(E32="V","V",IF(J32="Yes",K32,0)+IF(L32="Yes",CharacterSheet!D250,0))</f>
        <v>0</v>
      </c>
      <c r="N32" s="66" t="s">
        <v>1676</v>
      </c>
      <c r="O32" s="66" t="s">
        <v>508</v>
      </c>
      <c r="P32" s="66" t="s">
        <v>1485</v>
      </c>
      <c r="Q32" s="188">
        <v>16</v>
      </c>
    </row>
    <row r="33" spans="1:17" x14ac:dyDescent="0.25">
      <c r="A33" s="86" t="s">
        <v>1472</v>
      </c>
      <c r="B33" s="39" t="s">
        <v>194</v>
      </c>
      <c r="C33" s="39">
        <v>8</v>
      </c>
      <c r="D33" s="66" t="s">
        <v>21</v>
      </c>
      <c r="E33" s="66">
        <f>LOOKUP(D33,Reference!$B$33:$B$46,Reference!$C$33:$C$46)</f>
        <v>1</v>
      </c>
      <c r="F33" s="66" t="s">
        <v>57</v>
      </c>
      <c r="G33" s="66">
        <f>LOOKUP(F33,Reference!$D$32:$D$55,Reference!$E$32:$E$55)</f>
        <v>0</v>
      </c>
      <c r="H33" s="66" t="s">
        <v>361</v>
      </c>
      <c r="I33" s="57">
        <f>IF(OR(E33="V",G33="V"),"V",IF(AND(E33="None",G33="None"),"None",(IF(E33="None",0,E33)+IF(G33="None",0,G33)+IF(H33="Yes",CharacterSheet!$V$34,0))))</f>
        <v>1</v>
      </c>
      <c r="J33" s="57" t="s">
        <v>360</v>
      </c>
      <c r="K33" s="66">
        <f>IF(J33="no",0,IF(OR(F33="None",F33="Cheval",F33="Legend",F33="Mystery",F33="Prophecy",F33="TsukumoGami"),0,IF(F33="Varies","V",IF(AND(G33=0,CharacterSheet!$R$36="No"),0,IF(AND(G33=0,CharacterSheet!$R$36="Yes"),LOOKUP(D33,Reference!$N$2:$N$10,Reference!$O$2:$O$10),IF(G33&gt;0,LOOKUP(D33,Reference!$N$2:$N$10,Reference!$P$2:$P$10),"ERROR"))))))</f>
        <v>0</v>
      </c>
      <c r="L33" s="66" t="s">
        <v>361</v>
      </c>
      <c r="M33" s="66">
        <f>IF(E33="V","V",IF(J33="Yes",K33,0)+IF(L33="Yes",CharacterSheet!D341,0))</f>
        <v>0</v>
      </c>
      <c r="N33" s="66" t="s">
        <v>1075</v>
      </c>
      <c r="O33" s="66" t="s">
        <v>1679</v>
      </c>
      <c r="P33" s="66" t="s">
        <v>1068</v>
      </c>
      <c r="Q33" s="188">
        <v>230</v>
      </c>
    </row>
    <row r="34" spans="1:17" x14ac:dyDescent="0.25">
      <c r="A34" s="86" t="s">
        <v>1111</v>
      </c>
      <c r="B34" s="39" t="s">
        <v>115</v>
      </c>
      <c r="C34" s="39">
        <v>1</v>
      </c>
      <c r="D34" s="66" t="s">
        <v>508</v>
      </c>
      <c r="E34" s="66" t="str">
        <f>LOOKUP(D34,Reference!$B$33:$B$46,Reference!$C$33:$C$46)</f>
        <v>None</v>
      </c>
      <c r="F34" s="66" t="s">
        <v>508</v>
      </c>
      <c r="G34" s="66" t="str">
        <f>LOOKUP(F34,Reference!$D$32:$D$55,Reference!$E$32:$E$55)</f>
        <v>None</v>
      </c>
      <c r="H34" s="66" t="s">
        <v>361</v>
      </c>
      <c r="I34" s="57" t="str">
        <f>IF(OR(E34="V",G34="V"),"V",IF(AND(E34="None",G34="None"),"None",(IF(E34="None",0,E34)+IF(G34="None",0,G34)+IF(H34="Yes",CharacterSheet!$V$34,0))))</f>
        <v>None</v>
      </c>
      <c r="J34" s="57" t="s">
        <v>361</v>
      </c>
      <c r="K34" s="66">
        <f>IF(J34="no",0,IF(OR(F34="None",F34="Cheval",F34="Legend",F34="Mystery",F34="Prophecy",F34="TsukumoGami"),0,IF(F34="Varies","V",IF(AND(G34=0,CharacterSheet!$R$36="No"),0,IF(AND(G34=0,CharacterSheet!$R$36="Yes"),LOOKUP(D34,Reference!$N$2:$N$10,Reference!$O$2:$O$10),IF(G34&gt;0,LOOKUP(D34,Reference!$N$2:$N$10,Reference!$P$2:$P$10),"ERROR"))))))</f>
        <v>0</v>
      </c>
      <c r="L34" s="66" t="s">
        <v>361</v>
      </c>
      <c r="M34" s="66">
        <f>IF(E34="V","V",IF(J34="Yes",K34,0)+IF(L34="Yes",CharacterSheet!D211,0))</f>
        <v>0</v>
      </c>
      <c r="N34" s="66" t="s">
        <v>508</v>
      </c>
      <c r="O34" s="66" t="s">
        <v>508</v>
      </c>
      <c r="P34" s="66" t="s">
        <v>141</v>
      </c>
      <c r="Q34" s="188">
        <v>144</v>
      </c>
    </row>
    <row r="35" spans="1:17" x14ac:dyDescent="0.25">
      <c r="A35" s="86" t="s">
        <v>1388</v>
      </c>
      <c r="B35" s="39" t="s">
        <v>190</v>
      </c>
      <c r="C35" s="39">
        <v>7</v>
      </c>
      <c r="D35" s="66" t="s">
        <v>14</v>
      </c>
      <c r="E35" s="66">
        <f>LOOKUP(D35,Reference!$B$33:$B$46,Reference!$C$33:$C$46)</f>
        <v>1</v>
      </c>
      <c r="F35" s="66" t="s">
        <v>41</v>
      </c>
      <c r="G35" s="66">
        <f>LOOKUP(F35,Reference!$D$32:$D$55,Reference!$E$32:$E$55)</f>
        <v>0</v>
      </c>
      <c r="H35" s="66" t="s">
        <v>361</v>
      </c>
      <c r="I35" s="57">
        <f>IF(OR(E35="V",G35="V"),"V",IF(AND(E35="None",G35="None"),"None",(IF(E35="None",0,E35)+IF(G35="None",0,G35)+IF(H35="Yes",CharacterSheet!$V$34,0))))</f>
        <v>1</v>
      </c>
      <c r="J35" s="57" t="s">
        <v>360</v>
      </c>
      <c r="K35" s="66">
        <f>IF(J35="no",0,IF(OR(F35="None",F35="Cheval",F35="Legend",F35="Mystery",F35="Prophecy",F35="TsukumoGami"),0,IF(F35="Varies","V",IF(AND(G35=0,CharacterSheet!$R$36="No"),0,IF(AND(G35=0,CharacterSheet!$R$36="Yes"),LOOKUP(D35,Reference!$N$2:$N$10,Reference!$O$2:$O$10),IF(G35&gt;0,LOOKUP(D35,Reference!$N$2:$N$10,Reference!$P$2:$P$10),"ERROR"))))))</f>
        <v>0</v>
      </c>
      <c r="L35" s="66" t="s">
        <v>361</v>
      </c>
      <c r="M35" s="66">
        <f>IF(E35="V","V",IF(J35="Yes",K35,0)+IF(L35="Yes",CharacterSheet!D98,0))</f>
        <v>0</v>
      </c>
      <c r="N35" s="66" t="s">
        <v>1700</v>
      </c>
      <c r="O35" s="66" t="s">
        <v>1701</v>
      </c>
      <c r="P35" s="66" t="s">
        <v>1068</v>
      </c>
      <c r="Q35" s="188">
        <v>24</v>
      </c>
    </row>
    <row r="36" spans="1:17" x14ac:dyDescent="0.25">
      <c r="A36" s="86" t="s">
        <v>1498</v>
      </c>
      <c r="B36" s="39" t="s">
        <v>378</v>
      </c>
      <c r="C36" s="39">
        <v>3</v>
      </c>
      <c r="D36" s="66" t="s">
        <v>18</v>
      </c>
      <c r="E36" s="66">
        <f>LOOKUP(D36,Reference!$B$33:$B$46,Reference!$C$33:$C$46)</f>
        <v>1</v>
      </c>
      <c r="F36" s="66" t="s">
        <v>51</v>
      </c>
      <c r="G36" s="66">
        <f>LOOKUP(F36,Reference!$D$32:$D$55,Reference!$E$32:$E$55)</f>
        <v>0</v>
      </c>
      <c r="H36" s="66" t="s">
        <v>361</v>
      </c>
      <c r="I36" s="57">
        <f>IF(OR(E36="V",G36="V"),"V",IF(AND(E36="None",G36="None"),"None",(IF(E36="None",0,E36)+IF(G36="None",0,G36)+IF(H36="Yes",CharacterSheet!$V$34,0))))</f>
        <v>1</v>
      </c>
      <c r="J36" s="57" t="s">
        <v>360</v>
      </c>
      <c r="K36" s="66">
        <f>IF(J36="no",0,IF(OR(F36="None",F36="Cheval",F36="Legend",F36="Mystery",F36="Prophecy",F36="TsukumoGami"),0,IF(F36="Varies","V",IF(AND(G36=0,CharacterSheet!$R$36="No"),0,IF(AND(G36=0,CharacterSheet!$R$36="Yes"),LOOKUP(D36,Reference!$N$2:$N$10,Reference!$O$2:$O$10),IF(G36&gt;0,LOOKUP(D36,Reference!$N$2:$N$10,Reference!$P$2:$P$10),"ERROR"))))))</f>
        <v>0</v>
      </c>
      <c r="L36" s="66" t="s">
        <v>361</v>
      </c>
      <c r="M36" s="66">
        <f>IF(E36="V","V",IF(J36="Yes",K36,0)+IF(L36="Yes",CharacterSheet!D473,0))</f>
        <v>0</v>
      </c>
      <c r="N36" s="66" t="s">
        <v>1695</v>
      </c>
      <c r="O36" s="66" t="s">
        <v>1558</v>
      </c>
      <c r="P36" s="66" t="s">
        <v>1485</v>
      </c>
      <c r="Q36" s="188">
        <v>17</v>
      </c>
    </row>
    <row r="37" spans="1:17" x14ac:dyDescent="0.25">
      <c r="A37" s="86" t="s">
        <v>1354</v>
      </c>
      <c r="B37" s="39" t="s">
        <v>383</v>
      </c>
      <c r="C37" s="39">
        <v>11</v>
      </c>
      <c r="D37" s="66" t="s">
        <v>508</v>
      </c>
      <c r="E37" s="66" t="str">
        <f>LOOKUP(D37,Reference!$B$33:$B$46,Reference!$C$33:$C$46)</f>
        <v>None</v>
      </c>
      <c r="F37" s="66" t="s">
        <v>508</v>
      </c>
      <c r="G37" s="66" t="str">
        <f>LOOKUP(F37,Reference!$D$32:$D$55,Reference!$E$32:$E$55)</f>
        <v>None</v>
      </c>
      <c r="H37" s="66" t="s">
        <v>361</v>
      </c>
      <c r="I37" s="57" t="str">
        <f>IF(OR(E37="V",G37="V"),"V",IF(AND(E37="None",G37="None"),"None",(IF(E37="None",0,E37)+IF(G37="None",0,G37)+IF(H37="Yes",CharacterSheet!$V$34,0))))</f>
        <v>None</v>
      </c>
      <c r="J37" s="57" t="s">
        <v>361</v>
      </c>
      <c r="K37" s="66">
        <f>IF(J37="no",0,IF(OR(F37="None",F37="Cheval",F37="Legend",F37="Mystery",F37="Prophecy",F37="TsukumoGami"),0,IF(F37="Varies","V",IF(AND(G37=0,CharacterSheet!$R$36="No"),0,IF(AND(G37=0,CharacterSheet!$R$36="Yes"),LOOKUP(D37,Reference!$N$2:$N$10,Reference!$O$2:$O$10),IF(G37&gt;0,LOOKUP(D37,Reference!$N$2:$N$10,Reference!$P$2:$P$10),"ERROR"))))))</f>
        <v>0</v>
      </c>
      <c r="L37" s="66" t="s">
        <v>361</v>
      </c>
      <c r="M37" s="66">
        <f>IF(E37="V","V",IF(J37="Yes",K37,0)+IF(L37="Yes",CharacterSheet!D239,0))</f>
        <v>0</v>
      </c>
      <c r="N37" s="66" t="s">
        <v>1658</v>
      </c>
      <c r="O37" s="66" t="s">
        <v>508</v>
      </c>
      <c r="P37" s="66" t="s">
        <v>5</v>
      </c>
      <c r="Q37" s="188">
        <v>111</v>
      </c>
    </row>
    <row r="38" spans="1:17" x14ac:dyDescent="0.25">
      <c r="A38" s="86" t="s">
        <v>1269</v>
      </c>
      <c r="B38" s="39" t="s">
        <v>366</v>
      </c>
      <c r="C38" s="39">
        <v>11</v>
      </c>
      <c r="D38" s="66" t="s">
        <v>508</v>
      </c>
      <c r="E38" s="66" t="str">
        <f>LOOKUP(D38,Reference!$B$33:$B$46,Reference!$C$33:$C$46)</f>
        <v>None</v>
      </c>
      <c r="F38" s="66" t="s">
        <v>508</v>
      </c>
      <c r="G38" s="66" t="str">
        <f>LOOKUP(F38,Reference!$D$32:$D$55,Reference!$E$32:$E$55)</f>
        <v>None</v>
      </c>
      <c r="H38" s="66" t="s">
        <v>361</v>
      </c>
      <c r="I38" s="57" t="str">
        <f>IF(OR(E38="V",G38="V"),"V",IF(AND(E38="None",G38="None"),"None",(IF(E38="None",0,E38)+IF(G38="None",0,G38)+IF(H38="Yes",CharacterSheet!$V$34,0))))</f>
        <v>None</v>
      </c>
      <c r="J38" s="57" t="s">
        <v>361</v>
      </c>
      <c r="K38" s="66">
        <f>IF(J38="no",0,IF(OR(F38="None",F38="Cheval",F38="Legend",F38="Mystery",F38="Prophecy",F38="TsukumoGami"),0,IF(F38="Varies","V",IF(AND(G38=0,CharacterSheet!$R$36="No"),0,IF(AND(G38=0,CharacterSheet!$R$36="Yes"),LOOKUP(D38,Reference!$N$2:$N$10,Reference!$O$2:$O$10),IF(G38&gt;0,LOOKUP(D38,Reference!$N$2:$N$10,Reference!$P$2:$P$10),"ERROR"))))))</f>
        <v>0</v>
      </c>
      <c r="L38" s="66" t="s">
        <v>361</v>
      </c>
      <c r="M38" s="66">
        <f>IF(E38="V","V",IF(J38="Yes",K38,0)+IF(L38="Yes",CharacterSheet!D170,0))</f>
        <v>0</v>
      </c>
      <c r="N38" s="66" t="s">
        <v>1658</v>
      </c>
      <c r="O38" s="66" t="s">
        <v>508</v>
      </c>
      <c r="P38" s="66" t="s">
        <v>5</v>
      </c>
      <c r="Q38" s="188">
        <v>82</v>
      </c>
    </row>
    <row r="39" spans="1:17" x14ac:dyDescent="0.25">
      <c r="A39" s="86" t="s">
        <v>1273</v>
      </c>
      <c r="B39" s="39" t="s">
        <v>367</v>
      </c>
      <c r="C39" s="39">
        <v>11</v>
      </c>
      <c r="D39" s="66" t="s">
        <v>508</v>
      </c>
      <c r="E39" s="66" t="str">
        <f>LOOKUP(D39,Reference!$B$33:$B$46,Reference!$C$33:$C$46)</f>
        <v>None</v>
      </c>
      <c r="F39" s="66" t="s">
        <v>508</v>
      </c>
      <c r="G39" s="66" t="str">
        <f>LOOKUP(F39,Reference!$D$32:$D$55,Reference!$E$32:$E$55)</f>
        <v>None</v>
      </c>
      <c r="H39" s="66" t="s">
        <v>361</v>
      </c>
      <c r="I39" s="57" t="str">
        <f>IF(OR(E39="V",G39="V"),"V",IF(AND(E39="None",G39="None"),"None",(IF(E39="None",0,E39)+IF(G39="None",0,G39)+IF(H39="Yes",CharacterSheet!$V$34,0))))</f>
        <v>None</v>
      </c>
      <c r="J39" s="57" t="s">
        <v>361</v>
      </c>
      <c r="K39" s="66">
        <f>IF(J39="no",0,IF(OR(F39="None",F39="Cheval",F39="Legend",F39="Mystery",F39="Prophecy",F39="TsukumoGami"),0,IF(F39="Varies","V",IF(AND(G39=0,CharacterSheet!$R$36="No"),0,IF(AND(G39=0,CharacterSheet!$R$36="Yes"),LOOKUP(D39,Reference!$N$2:$N$10,Reference!$O$2:$O$10),IF(G39&gt;0,LOOKUP(D39,Reference!$N$2:$N$10,Reference!$P$2:$P$10),"ERROR"))))))</f>
        <v>0</v>
      </c>
      <c r="L39" s="66" t="s">
        <v>361</v>
      </c>
      <c r="M39" s="66">
        <f>IF(E39="V","V",IF(J39="Yes",K39,0)+IF(L39="Yes",CharacterSheet!D278,0))</f>
        <v>0</v>
      </c>
      <c r="N39" s="66" t="s">
        <v>1658</v>
      </c>
      <c r="O39" s="66" t="s">
        <v>508</v>
      </c>
      <c r="P39" s="66" t="s">
        <v>5</v>
      </c>
      <c r="Q39" s="188">
        <v>84</v>
      </c>
    </row>
    <row r="40" spans="1:17" x14ac:dyDescent="0.25">
      <c r="A40" s="86" t="s">
        <v>1277</v>
      </c>
      <c r="B40" s="39" t="s">
        <v>368</v>
      </c>
      <c r="C40" s="39">
        <v>11</v>
      </c>
      <c r="D40" s="66" t="s">
        <v>508</v>
      </c>
      <c r="E40" s="66" t="str">
        <f>LOOKUP(D40,Reference!$B$33:$B$46,Reference!$C$33:$C$46)</f>
        <v>None</v>
      </c>
      <c r="F40" s="66" t="s">
        <v>508</v>
      </c>
      <c r="G40" s="66" t="str">
        <f>LOOKUP(F40,Reference!$D$32:$D$55,Reference!$E$32:$E$55)</f>
        <v>None</v>
      </c>
      <c r="H40" s="66" t="s">
        <v>361</v>
      </c>
      <c r="I40" s="57" t="str">
        <f>IF(OR(E40="V",G40="V"),"V",IF(AND(E40="None",G40="None"),"None",(IF(E40="None",0,E40)+IF(G40="None",0,G40)+IF(H40="Yes",CharacterSheet!$V$34,0))))</f>
        <v>None</v>
      </c>
      <c r="J40" s="57" t="s">
        <v>361</v>
      </c>
      <c r="K40" s="66">
        <f>IF(J40="no",0,IF(OR(F40="None",F40="Cheval",F40="Legend",F40="Mystery",F40="Prophecy",F40="TsukumoGami"),0,IF(F40="Varies","V",IF(AND(G40=0,CharacterSheet!$R$36="No"),0,IF(AND(G40=0,CharacterSheet!$R$36="Yes"),LOOKUP(D40,Reference!$N$2:$N$10,Reference!$O$2:$O$10),IF(G40&gt;0,LOOKUP(D40,Reference!$N$2:$N$10,Reference!$P$2:$P$10),"ERROR"))))))</f>
        <v>0</v>
      </c>
      <c r="L40" s="66" t="s">
        <v>361</v>
      </c>
      <c r="M40" s="66">
        <f>IF(E40="V","V",IF(J40="Yes",K40,0)+IF(L40="Yes",CharacterSheet!D311,0))</f>
        <v>0</v>
      </c>
      <c r="N40" s="66" t="s">
        <v>1658</v>
      </c>
      <c r="O40" s="66" t="s">
        <v>508</v>
      </c>
      <c r="P40" s="66" t="s">
        <v>5</v>
      </c>
      <c r="Q40" s="188">
        <v>85</v>
      </c>
    </row>
    <row r="41" spans="1:17" x14ac:dyDescent="0.25">
      <c r="A41" s="86" t="s">
        <v>1281</v>
      </c>
      <c r="B41" s="39" t="s">
        <v>369</v>
      </c>
      <c r="C41" s="39">
        <v>11</v>
      </c>
      <c r="D41" s="66" t="s">
        <v>508</v>
      </c>
      <c r="E41" s="66" t="str">
        <f>LOOKUP(D41,Reference!$B$33:$B$46,Reference!$C$33:$C$46)</f>
        <v>None</v>
      </c>
      <c r="F41" s="66" t="s">
        <v>508</v>
      </c>
      <c r="G41" s="66" t="str">
        <f>LOOKUP(F41,Reference!$D$32:$D$55,Reference!$E$32:$E$55)</f>
        <v>None</v>
      </c>
      <c r="H41" s="66" t="s">
        <v>361</v>
      </c>
      <c r="I41" s="57" t="str">
        <f>IF(OR(E41="V",G41="V"),"V",IF(AND(E41="None",G41="None"),"None",(IF(E41="None",0,E41)+IF(G41="None",0,G41)+IF(H41="Yes",CharacterSheet!$V$34,0))))</f>
        <v>None</v>
      </c>
      <c r="J41" s="57" t="s">
        <v>361</v>
      </c>
      <c r="K41" s="66">
        <f>IF(J41="no",0,IF(OR(F41="None",F41="Cheval",F41="Legend",F41="Mystery",F41="Prophecy",F41="TsukumoGami"),0,IF(F41="Varies","V",IF(AND(G41=0,CharacterSheet!$R$36="No"),0,IF(AND(G41=0,CharacterSheet!$R$36="Yes"),LOOKUP(D41,Reference!$N$2:$N$10,Reference!$O$2:$O$10),IF(G41&gt;0,LOOKUP(D41,Reference!$N$2:$N$10,Reference!$P$2:$P$10),"ERROR"))))))</f>
        <v>0</v>
      </c>
      <c r="L41" s="66" t="s">
        <v>361</v>
      </c>
      <c r="M41" s="66">
        <f>IF(E41="V","V",IF(J41="Yes",K41,0)+IF(L41="Yes",CharacterSheet!D219,0))</f>
        <v>0</v>
      </c>
      <c r="N41" s="66" t="s">
        <v>1658</v>
      </c>
      <c r="O41" s="66" t="s">
        <v>508</v>
      </c>
      <c r="P41" s="66" t="s">
        <v>5</v>
      </c>
      <c r="Q41" s="188">
        <v>86</v>
      </c>
    </row>
    <row r="42" spans="1:17" x14ac:dyDescent="0.25">
      <c r="A42" s="86" t="s">
        <v>1285</v>
      </c>
      <c r="B42" s="39" t="s">
        <v>370</v>
      </c>
      <c r="C42" s="39">
        <v>11</v>
      </c>
      <c r="D42" s="66" t="s">
        <v>508</v>
      </c>
      <c r="E42" s="66" t="str">
        <f>LOOKUP(D42,Reference!$B$33:$B$46,Reference!$C$33:$C$46)</f>
        <v>None</v>
      </c>
      <c r="F42" s="66" t="s">
        <v>508</v>
      </c>
      <c r="G42" s="66" t="str">
        <f>LOOKUP(F42,Reference!$D$32:$D$55,Reference!$E$32:$E$55)</f>
        <v>None</v>
      </c>
      <c r="H42" s="66" t="s">
        <v>361</v>
      </c>
      <c r="I42" s="57" t="str">
        <f>IF(OR(E42="V",G42="V"),"V",IF(AND(E42="None",G42="None"),"None",(IF(E42="None",0,E42)+IF(G42="None",0,G42)+IF(H42="Yes",CharacterSheet!$V$34,0))))</f>
        <v>None</v>
      </c>
      <c r="J42" s="57" t="s">
        <v>361</v>
      </c>
      <c r="K42" s="66">
        <f>IF(J42="no",0,IF(OR(F42="None",F42="Cheval",F42="Legend",F42="Mystery",F42="Prophecy",F42="TsukumoGami"),0,IF(F42="Varies","V",IF(AND(G42=0,CharacterSheet!$R$36="No"),0,IF(AND(G42=0,CharacterSheet!$R$36="Yes"),LOOKUP(D42,Reference!$N$2:$N$10,Reference!$O$2:$O$10),IF(G42&gt;0,LOOKUP(D42,Reference!$N$2:$N$10,Reference!$P$2:$P$10),"ERROR"))))))</f>
        <v>0</v>
      </c>
      <c r="L42" s="66" t="s">
        <v>361</v>
      </c>
      <c r="M42" s="66">
        <f>IF(E42="V","V",IF(J42="Yes",K42,0)+IF(L42="Yes",CharacterSheet!D224,0))</f>
        <v>0</v>
      </c>
      <c r="N42" s="66" t="s">
        <v>1658</v>
      </c>
      <c r="O42" s="66" t="s">
        <v>508</v>
      </c>
      <c r="P42" s="66" t="s">
        <v>5</v>
      </c>
      <c r="Q42" s="188">
        <v>88</v>
      </c>
    </row>
    <row r="43" spans="1:17" x14ac:dyDescent="0.25">
      <c r="A43" s="86" t="s">
        <v>1289</v>
      </c>
      <c r="B43" s="39" t="s">
        <v>371</v>
      </c>
      <c r="C43" s="39">
        <v>11</v>
      </c>
      <c r="D43" s="66" t="s">
        <v>508</v>
      </c>
      <c r="E43" s="66" t="str">
        <f>LOOKUP(D43,Reference!$B$33:$B$46,Reference!$C$33:$C$46)</f>
        <v>None</v>
      </c>
      <c r="F43" s="66" t="s">
        <v>508</v>
      </c>
      <c r="G43" s="66" t="str">
        <f>LOOKUP(F43,Reference!$D$32:$D$55,Reference!$E$32:$E$55)</f>
        <v>None</v>
      </c>
      <c r="H43" s="66" t="s">
        <v>361</v>
      </c>
      <c r="I43" s="57" t="str">
        <f>IF(OR(E43="V",G43="V"),"V",IF(AND(E43="None",G43="None"),"None",(IF(E43="None",0,E43)+IF(G43="None",0,G43)+IF(H43="Yes",CharacterSheet!$V$34,0))))</f>
        <v>None</v>
      </c>
      <c r="J43" s="57" t="s">
        <v>361</v>
      </c>
      <c r="K43" s="66">
        <f>IF(J43="no",0,IF(OR(F43="None",F43="Cheval",F43="Legend",F43="Mystery",F43="Prophecy",F43="TsukumoGami"),0,IF(F43="Varies","V",IF(AND(G43=0,CharacterSheet!$R$36="No"),0,IF(AND(G43=0,CharacterSheet!$R$36="Yes"),LOOKUP(D43,Reference!$N$2:$N$10,Reference!$O$2:$O$10),IF(G43&gt;0,LOOKUP(D43,Reference!$N$2:$N$10,Reference!$P$2:$P$10),"ERROR"))))))</f>
        <v>0</v>
      </c>
      <c r="L43" s="66" t="s">
        <v>361</v>
      </c>
      <c r="M43" s="66">
        <f>IF(E43="V","V",IF(J43="Yes",K43,0)+IF(L43="Yes",CharacterSheet!D228,0))</f>
        <v>0</v>
      </c>
      <c r="N43" s="66" t="s">
        <v>1658</v>
      </c>
      <c r="O43" s="66" t="s">
        <v>508</v>
      </c>
      <c r="P43" s="66" t="s">
        <v>5</v>
      </c>
      <c r="Q43" s="188">
        <v>89</v>
      </c>
    </row>
    <row r="44" spans="1:17" x14ac:dyDescent="0.25">
      <c r="A44" s="86" t="s">
        <v>1293</v>
      </c>
      <c r="B44" s="39" t="s">
        <v>372</v>
      </c>
      <c r="C44" s="39">
        <v>11</v>
      </c>
      <c r="D44" s="66" t="s">
        <v>508</v>
      </c>
      <c r="E44" s="66" t="str">
        <f>LOOKUP(D44,Reference!$B$33:$B$46,Reference!$C$33:$C$46)</f>
        <v>None</v>
      </c>
      <c r="F44" s="66" t="s">
        <v>508</v>
      </c>
      <c r="G44" s="66" t="str">
        <f>LOOKUP(F44,Reference!$D$32:$D$55,Reference!$E$32:$E$55)</f>
        <v>None</v>
      </c>
      <c r="H44" s="66" t="s">
        <v>361</v>
      </c>
      <c r="I44" s="57" t="str">
        <f>IF(OR(E44="V",G44="V"),"V",IF(AND(E44="None",G44="None"),"None",(IF(E44="None",0,E44)+IF(G44="None",0,G44)+IF(H44="Yes",CharacterSheet!$V$34,0))))</f>
        <v>None</v>
      </c>
      <c r="J44" s="57" t="s">
        <v>361</v>
      </c>
      <c r="K44" s="66">
        <f>IF(J44="no",0,IF(OR(F44="None",F44="Cheval",F44="Legend",F44="Mystery",F44="Prophecy",F44="TsukumoGami"),0,IF(F44="Varies","V",IF(AND(G44=0,CharacterSheet!$R$36="No"),0,IF(AND(G44=0,CharacterSheet!$R$36="Yes"),LOOKUP(D44,Reference!$N$2:$N$10,Reference!$O$2:$O$10),IF(G44&gt;0,LOOKUP(D44,Reference!$N$2:$N$10,Reference!$P$2:$P$10),"ERROR"))))))</f>
        <v>0</v>
      </c>
      <c r="L44" s="66" t="s">
        <v>361</v>
      </c>
      <c r="M44" s="66">
        <f>IF(E44="V","V",IF(J44="Yes",K44,0)+IF(L44="Yes",CharacterSheet!D317,0))</f>
        <v>0</v>
      </c>
      <c r="N44" s="66" t="s">
        <v>1658</v>
      </c>
      <c r="O44" s="66" t="s">
        <v>508</v>
      </c>
      <c r="P44" s="66" t="s">
        <v>5</v>
      </c>
      <c r="Q44" s="188">
        <v>91</v>
      </c>
    </row>
    <row r="45" spans="1:17" x14ac:dyDescent="0.25">
      <c r="A45" s="87" t="s">
        <v>1518</v>
      </c>
      <c r="B45" s="66" t="s">
        <v>704</v>
      </c>
      <c r="C45" s="66">
        <v>11</v>
      </c>
      <c r="D45" s="66" t="s">
        <v>508</v>
      </c>
      <c r="E45" s="66" t="str">
        <f>LOOKUP(D45,Reference!$B$33:$B$46,Reference!$C$33:$C$46)</f>
        <v>None</v>
      </c>
      <c r="F45" s="66" t="s">
        <v>508</v>
      </c>
      <c r="G45" s="66" t="str">
        <f>LOOKUP(F45,Reference!$D$32:$D$55,Reference!$E$32:$E$55)</f>
        <v>None</v>
      </c>
      <c r="H45" s="66" t="s">
        <v>361</v>
      </c>
      <c r="I45" s="57" t="str">
        <f>IF(OR(E45="V",G45="V"),"V",IF(AND(E45="None",G45="None"),"None",(IF(E45="None",0,E45)+IF(G45="None",0,G45)+IF(H45="Yes",CharacterSheet!$V$34,0))))</f>
        <v>None</v>
      </c>
      <c r="J45" s="57" t="s">
        <v>361</v>
      </c>
      <c r="K45" s="66">
        <f>IF(J45="no",0,IF(OR(F45="None",F45="Cheval",F45="Legend",F45="Mystery",F45="Prophecy",F45="TsukumoGami"),0,IF(F45="Varies","V",IF(AND(G45=0,CharacterSheet!$R$36="No"),0,IF(AND(G45=0,CharacterSheet!$R$36="Yes"),LOOKUP(D45,Reference!$N$2:$N$10,Reference!$O$2:$O$10),IF(G45&gt;0,LOOKUP(D45,Reference!$N$2:$N$10,Reference!$P$2:$P$10),"ERROR"))))))</f>
        <v>0</v>
      </c>
      <c r="L45" s="66" t="s">
        <v>361</v>
      </c>
      <c r="M45" s="66">
        <f>IF(E45="V","V",IF(J45="Yes",K45,0)+IF(L45="Yes",CharacterSheet!D283,0))</f>
        <v>0</v>
      </c>
      <c r="N45" s="66" t="s">
        <v>1658</v>
      </c>
      <c r="O45" s="66" t="s">
        <v>508</v>
      </c>
      <c r="P45" s="66" t="s">
        <v>1507</v>
      </c>
      <c r="Q45" s="188">
        <v>38</v>
      </c>
    </row>
    <row r="46" spans="1:17" x14ac:dyDescent="0.25">
      <c r="A46" s="86" t="s">
        <v>1297</v>
      </c>
      <c r="B46" s="39" t="s">
        <v>373</v>
      </c>
      <c r="C46" s="39">
        <v>11</v>
      </c>
      <c r="D46" s="66" t="s">
        <v>508</v>
      </c>
      <c r="E46" s="66" t="str">
        <f>LOOKUP(D46,Reference!$B$33:$B$46,Reference!$C$33:$C$46)</f>
        <v>None</v>
      </c>
      <c r="F46" s="66" t="s">
        <v>508</v>
      </c>
      <c r="G46" s="66" t="str">
        <f>LOOKUP(F46,Reference!$D$32:$D$55,Reference!$E$32:$E$55)</f>
        <v>None</v>
      </c>
      <c r="H46" s="66" t="s">
        <v>361</v>
      </c>
      <c r="I46" s="57" t="str">
        <f>IF(OR(E46="V",G46="V"),"V",IF(AND(E46="None",G46="None"),"None",(IF(E46="None",0,E46)+IF(G46="None",0,G46)+IF(H46="Yes",CharacterSheet!$V$34,0))))</f>
        <v>None</v>
      </c>
      <c r="J46" s="57" t="s">
        <v>361</v>
      </c>
      <c r="K46" s="66">
        <f>IF(J46="no",0,IF(OR(F46="None",F46="Cheval",F46="Legend",F46="Mystery",F46="Prophecy",F46="TsukumoGami"),0,IF(F46="Varies","V",IF(AND(G46=0,CharacterSheet!$R$36="No"),0,IF(AND(G46=0,CharacterSheet!$R$36="Yes"),LOOKUP(D46,Reference!$N$2:$N$10,Reference!$O$2:$O$10),IF(G46&gt;0,LOOKUP(D46,Reference!$N$2:$N$10,Reference!$P$2:$P$10),"ERROR"))))))</f>
        <v>0</v>
      </c>
      <c r="L46" s="66" t="s">
        <v>361</v>
      </c>
      <c r="M46" s="66">
        <f>IF(E46="V","V",IF(J46="Yes",K46,0)+IF(L46="Yes",CharacterSheet!D410,0))</f>
        <v>0</v>
      </c>
      <c r="N46" s="66" t="s">
        <v>1658</v>
      </c>
      <c r="O46" s="66" t="s">
        <v>508</v>
      </c>
      <c r="P46" s="66" t="s">
        <v>5</v>
      </c>
      <c r="Q46" s="188">
        <v>91</v>
      </c>
    </row>
    <row r="47" spans="1:17" ht="30" x14ac:dyDescent="0.25">
      <c r="A47" s="86" t="s">
        <v>1301</v>
      </c>
      <c r="B47" s="39" t="s">
        <v>115</v>
      </c>
      <c r="C47" s="39">
        <v>11</v>
      </c>
      <c r="D47" s="66" t="s">
        <v>508</v>
      </c>
      <c r="E47" s="66" t="str">
        <f>LOOKUP(D47,Reference!$B$33:$B$46,Reference!$C$33:$C$46)</f>
        <v>None</v>
      </c>
      <c r="F47" s="66" t="s">
        <v>508</v>
      </c>
      <c r="G47" s="66" t="str">
        <f>LOOKUP(F47,Reference!$D$32:$D$55,Reference!$E$32:$E$55)</f>
        <v>None</v>
      </c>
      <c r="H47" s="66" t="s">
        <v>361</v>
      </c>
      <c r="I47" s="57" t="str">
        <f>IF(OR(E47="V",G47="V"),"V",IF(AND(E47="None",G47="None"),"None",(IF(E47="None",0,E47)+IF(G47="None",0,G47)+IF(H47="Yes",CharacterSheet!$V$34,0))))</f>
        <v>None</v>
      </c>
      <c r="J47" s="57" t="s">
        <v>361</v>
      </c>
      <c r="K47" s="66">
        <f>IF(J47="no",0,IF(OR(F47="None",F47="Cheval",F47="Legend",F47="Mystery",F47="Prophecy",F47="TsukumoGami"),0,IF(F47="Varies","V",IF(AND(G47=0,CharacterSheet!$R$36="No"),0,IF(AND(G47=0,CharacterSheet!$R$36="Yes"),LOOKUP(D47,Reference!$N$2:$N$10,Reference!$O$2:$O$10),IF(G47&gt;0,LOOKUP(D47,Reference!$N$2:$N$10,Reference!$P$2:$P$10),"ERROR"))))))</f>
        <v>0</v>
      </c>
      <c r="L47" s="66" t="s">
        <v>361</v>
      </c>
      <c r="M47" s="66">
        <f>IF(E47="V","V",IF(J47="Yes",K47,0)+IF(L47="Yes",CharacterSheet!D156,0))</f>
        <v>0</v>
      </c>
      <c r="N47" s="66" t="s">
        <v>1658</v>
      </c>
      <c r="O47" s="66" t="s">
        <v>508</v>
      </c>
      <c r="P47" s="66" t="s">
        <v>5</v>
      </c>
      <c r="Q47" s="188">
        <v>93</v>
      </c>
    </row>
    <row r="48" spans="1:17" x14ac:dyDescent="0.25">
      <c r="A48" s="87" t="s">
        <v>1532</v>
      </c>
      <c r="B48" s="66" t="s">
        <v>703</v>
      </c>
      <c r="C48" s="66">
        <v>11</v>
      </c>
      <c r="D48" s="66" t="s">
        <v>508</v>
      </c>
      <c r="E48" s="66" t="str">
        <f>LOOKUP(D48,Reference!$B$33:$B$46,Reference!$C$33:$C$46)</f>
        <v>None</v>
      </c>
      <c r="F48" s="66" t="s">
        <v>508</v>
      </c>
      <c r="G48" s="66" t="str">
        <f>LOOKUP(F48,Reference!$D$32:$D$55,Reference!$E$32:$E$55)</f>
        <v>None</v>
      </c>
      <c r="H48" s="66" t="s">
        <v>361</v>
      </c>
      <c r="I48" s="57" t="str">
        <f>IF(OR(E48="V",G48="V"),"V",IF(AND(E48="None",G48="None"),"None",(IF(E48="None",0,E48)+IF(G48="None",0,G48)+IF(H48="Yes",CharacterSheet!$V$34,0))))</f>
        <v>None</v>
      </c>
      <c r="J48" s="57" t="s">
        <v>361</v>
      </c>
      <c r="K48" s="66">
        <f>IF(J48="no",0,IF(OR(F48="None",F48="Cheval",F48="Legend",F48="Mystery",F48="Prophecy",F48="TsukumoGami"),0,IF(F48="Varies","V",IF(AND(G48=0,CharacterSheet!$R$36="No"),0,IF(AND(G48=0,CharacterSheet!$R$36="Yes"),LOOKUP(D48,Reference!$N$2:$N$10,Reference!$O$2:$O$10),IF(G48&gt;0,LOOKUP(D48,Reference!$N$2:$N$10,Reference!$P$2:$P$10),"ERROR"))))))</f>
        <v>0</v>
      </c>
      <c r="L48" s="66" t="s">
        <v>361</v>
      </c>
      <c r="M48" s="66">
        <f>IF(E48="V","V",IF(J48="Yes",K48,0)+IF(L48="Yes",CharacterSheet!D439,0))</f>
        <v>0</v>
      </c>
      <c r="N48" s="66" t="s">
        <v>1658</v>
      </c>
      <c r="O48" s="66" t="s">
        <v>508</v>
      </c>
      <c r="P48" s="66" t="s">
        <v>1507</v>
      </c>
      <c r="Q48" s="188">
        <v>44</v>
      </c>
    </row>
    <row r="49" spans="1:17" x14ac:dyDescent="0.25">
      <c r="A49" s="86" t="s">
        <v>1655</v>
      </c>
      <c r="B49" s="39" t="s">
        <v>374</v>
      </c>
      <c r="C49" s="39">
        <v>11</v>
      </c>
      <c r="D49" s="66" t="s">
        <v>508</v>
      </c>
      <c r="E49" s="66" t="str">
        <f>LOOKUP(D49,Reference!$B$33:$B$46,Reference!$C$33:$C$46)</f>
        <v>None</v>
      </c>
      <c r="F49" s="66" t="s">
        <v>508</v>
      </c>
      <c r="G49" s="66" t="str">
        <f>LOOKUP(F49,Reference!$D$32:$D$55,Reference!$E$32:$E$55)</f>
        <v>None</v>
      </c>
      <c r="H49" s="66" t="s">
        <v>361</v>
      </c>
      <c r="I49" s="57" t="str">
        <f>IF(OR(E49="V",G49="V"),"V",IF(AND(E49="None",G49="None"),"None",(IF(E49="None",0,E49)+IF(G49="None",0,G49)+IF(H49="Yes",CharacterSheet!$V$34,0))))</f>
        <v>None</v>
      </c>
      <c r="J49" s="57" t="s">
        <v>361</v>
      </c>
      <c r="K49" s="66">
        <f>IF(J49="no",0,IF(OR(F49="None",F49="Cheval",F49="Legend",F49="Mystery",F49="Prophecy",F49="TsukumoGami"),0,IF(F49="Varies","V",IF(AND(G49=0,CharacterSheet!$R$36="No"),0,IF(AND(G49=0,CharacterSheet!$R$36="Yes"),LOOKUP(D49,Reference!$N$2:$N$10,Reference!$O$2:$O$10),IF(G49&gt;0,LOOKUP(D49,Reference!$N$2:$N$10,Reference!$P$2:$P$10),"ERROR"))))))</f>
        <v>0</v>
      </c>
      <c r="L49" s="66" t="s">
        <v>361</v>
      </c>
      <c r="M49" s="66">
        <f>IF(E49="V","V",IF(J49="Yes",K49,0)+IF(L49="Yes",CharacterSheet!D371,0))</f>
        <v>0</v>
      </c>
      <c r="N49" s="66" t="s">
        <v>1658</v>
      </c>
      <c r="O49" s="66" t="s">
        <v>508</v>
      </c>
      <c r="P49" s="66" t="s">
        <v>5</v>
      </c>
      <c r="Q49" s="188">
        <v>95</v>
      </c>
    </row>
    <row r="50" spans="1:17" x14ac:dyDescent="0.25">
      <c r="A50" s="86" t="s">
        <v>1350</v>
      </c>
      <c r="B50" s="39" t="s">
        <v>385</v>
      </c>
      <c r="C50" s="39">
        <v>11</v>
      </c>
      <c r="D50" s="66" t="s">
        <v>508</v>
      </c>
      <c r="E50" s="66" t="str">
        <f>LOOKUP(D50,Reference!$B$33:$B$46,Reference!$C$33:$C$46)</f>
        <v>None</v>
      </c>
      <c r="F50" s="66" t="s">
        <v>508</v>
      </c>
      <c r="G50" s="66" t="str">
        <f>LOOKUP(F50,Reference!$D$32:$D$55,Reference!$E$32:$E$55)</f>
        <v>None</v>
      </c>
      <c r="H50" s="66" t="s">
        <v>361</v>
      </c>
      <c r="I50" s="57" t="str">
        <f>IF(OR(E50="V",G50="V"),"V",IF(AND(E50="None",G50="None"),"None",(IF(E50="None",0,E50)+IF(G50="None",0,G50)+IF(H50="Yes",CharacterSheet!$V$34,0))))</f>
        <v>None</v>
      </c>
      <c r="J50" s="57" t="s">
        <v>361</v>
      </c>
      <c r="K50" s="66">
        <f>IF(J50="no",0,IF(OR(F50="None",F50="Cheval",F50="Legend",F50="Mystery",F50="Prophecy",F50="TsukumoGami"),0,IF(F50="Varies","V",IF(AND(G50=0,CharacterSheet!$R$36="No"),0,IF(AND(G50=0,CharacterSheet!$R$36="Yes"),LOOKUP(D50,Reference!$N$2:$N$10,Reference!$O$2:$O$10),IF(G50&gt;0,LOOKUP(D50,Reference!$N$2:$N$10,Reference!$P$2:$P$10),"ERROR"))))))</f>
        <v>0</v>
      </c>
      <c r="L50" s="66" t="s">
        <v>361</v>
      </c>
      <c r="M50" s="66">
        <f>IF(E50="V","V",IF(J50="Yes",K50,0)+IF(L50="Yes",CharacterSheet!D402,0))</f>
        <v>0</v>
      </c>
      <c r="N50" s="66" t="s">
        <v>1658</v>
      </c>
      <c r="O50" s="66" t="s">
        <v>508</v>
      </c>
      <c r="P50" s="66" t="s">
        <v>5</v>
      </c>
      <c r="Q50" s="188">
        <v>111</v>
      </c>
    </row>
    <row r="51" spans="1:17" x14ac:dyDescent="0.25">
      <c r="A51" s="86" t="s">
        <v>1308</v>
      </c>
      <c r="B51" s="39" t="s">
        <v>375</v>
      </c>
      <c r="C51" s="39">
        <v>11</v>
      </c>
      <c r="D51" s="66" t="s">
        <v>508</v>
      </c>
      <c r="E51" s="66" t="str">
        <f>LOOKUP(D51,Reference!$B$33:$B$46,Reference!$C$33:$C$46)</f>
        <v>None</v>
      </c>
      <c r="F51" s="66" t="s">
        <v>508</v>
      </c>
      <c r="G51" s="66" t="str">
        <f>LOOKUP(F51,Reference!$D$32:$D$55,Reference!$E$32:$E$55)</f>
        <v>None</v>
      </c>
      <c r="H51" s="66" t="s">
        <v>361</v>
      </c>
      <c r="I51" s="57" t="str">
        <f>IF(OR(E51="V",G51="V"),"V",IF(AND(E51="None",G51="None"),"None",(IF(E51="None",0,E51)+IF(G51="None",0,G51)+IF(H51="Yes",CharacterSheet!$V$34,0))))</f>
        <v>None</v>
      </c>
      <c r="J51" s="57" t="s">
        <v>361</v>
      </c>
      <c r="K51" s="66">
        <f>IF(J51="no",0,IF(OR(F51="None",F51="Cheval",F51="Legend",F51="Mystery",F51="Prophecy",F51="TsukumoGami"),0,IF(F51="Varies","V",IF(AND(G51=0,CharacterSheet!$R$36="No"),0,IF(AND(G51=0,CharacterSheet!$R$36="Yes"),LOOKUP(D51,Reference!$N$2:$N$10,Reference!$O$2:$O$10),IF(G51&gt;0,LOOKUP(D51,Reference!$N$2:$N$10,Reference!$P$2:$P$10),"ERROR"))))))</f>
        <v>0</v>
      </c>
      <c r="L51" s="66" t="s">
        <v>361</v>
      </c>
      <c r="M51" s="66">
        <f>IF(E51="V","V",IF(J51="Yes",K51,0)+IF(L51="Yes",CharacterSheet!D258,0))</f>
        <v>0</v>
      </c>
      <c r="N51" s="66" t="s">
        <v>1658</v>
      </c>
      <c r="O51" s="66" t="s">
        <v>508</v>
      </c>
      <c r="P51" s="66" t="s">
        <v>5</v>
      </c>
      <c r="Q51" s="188">
        <v>96</v>
      </c>
    </row>
    <row r="52" spans="1:17" x14ac:dyDescent="0.25">
      <c r="A52" s="86" t="s">
        <v>1358</v>
      </c>
      <c r="B52" s="39" t="s">
        <v>384</v>
      </c>
      <c r="C52" s="39">
        <v>11</v>
      </c>
      <c r="D52" s="66" t="s">
        <v>508</v>
      </c>
      <c r="E52" s="66" t="str">
        <f>LOOKUP(D52,Reference!$B$33:$B$46,Reference!$C$33:$C$46)</f>
        <v>None</v>
      </c>
      <c r="F52" s="66" t="s">
        <v>508</v>
      </c>
      <c r="G52" s="66" t="str">
        <f>LOOKUP(F52,Reference!$D$32:$D$55,Reference!$E$32:$E$55)</f>
        <v>None</v>
      </c>
      <c r="H52" s="66" t="s">
        <v>361</v>
      </c>
      <c r="I52" s="57" t="str">
        <f>IF(OR(E52="V",G52="V"),"V",IF(AND(E52="None",G52="None"),"None",(IF(E52="None",0,E52)+IF(G52="None",0,G52)+IF(H52="Yes",CharacterSheet!$V$34,0))))</f>
        <v>None</v>
      </c>
      <c r="J52" s="57" t="s">
        <v>361</v>
      </c>
      <c r="K52" s="66">
        <f>IF(J52="no",0,IF(OR(F52="None",F52="Cheval",F52="Legend",F52="Mystery",F52="Prophecy",F52="TsukumoGami"),0,IF(F52="Varies","V",IF(AND(G52=0,CharacterSheet!$R$36="No"),0,IF(AND(G52=0,CharacterSheet!$R$36="Yes"),LOOKUP(D52,Reference!$N$2:$N$10,Reference!$O$2:$O$10),IF(G52&gt;0,LOOKUP(D52,Reference!$N$2:$N$10,Reference!$P$2:$P$10),"ERROR"))))))</f>
        <v>0</v>
      </c>
      <c r="L52" s="66" t="s">
        <v>361</v>
      </c>
      <c r="M52" s="66">
        <f>IF(E52="V","V",IF(J52="Yes",K52,0)+IF(L52="Yes",CharacterSheet!D123,0))</f>
        <v>0</v>
      </c>
      <c r="N52" s="66" t="s">
        <v>1658</v>
      </c>
      <c r="O52" s="66" t="s">
        <v>508</v>
      </c>
      <c r="P52" s="66" t="s">
        <v>5</v>
      </c>
      <c r="Q52" s="188">
        <v>111</v>
      </c>
    </row>
    <row r="53" spans="1:17" x14ac:dyDescent="0.25">
      <c r="A53" s="86" t="s">
        <v>1312</v>
      </c>
      <c r="B53" s="39" t="s">
        <v>376</v>
      </c>
      <c r="C53" s="39">
        <v>11</v>
      </c>
      <c r="D53" s="66" t="s">
        <v>508</v>
      </c>
      <c r="E53" s="66" t="str">
        <f>LOOKUP(D53,Reference!$B$33:$B$46,Reference!$C$33:$C$46)</f>
        <v>None</v>
      </c>
      <c r="F53" s="66" t="s">
        <v>508</v>
      </c>
      <c r="G53" s="66" t="str">
        <f>LOOKUP(F53,Reference!$D$32:$D$55,Reference!$E$32:$E$55)</f>
        <v>None</v>
      </c>
      <c r="H53" s="66" t="s">
        <v>361</v>
      </c>
      <c r="I53" s="57" t="str">
        <f>IF(OR(E53="V",G53="V"),"V",IF(AND(E53="None",G53="None"),"None",(IF(E53="None",0,E53)+IF(G53="None",0,G53)+IF(H53="Yes",CharacterSheet!$V$34,0))))</f>
        <v>None</v>
      </c>
      <c r="J53" s="57" t="s">
        <v>361</v>
      </c>
      <c r="K53" s="66">
        <f>IF(J53="no",0,IF(OR(F53="None",F53="Cheval",F53="Legend",F53="Mystery",F53="Prophecy",F53="TsukumoGami"),0,IF(F53="Varies","V",IF(AND(G53=0,CharacterSheet!$R$36="No"),0,IF(AND(G53=0,CharacterSheet!$R$36="Yes"),LOOKUP(D53,Reference!$N$2:$N$10,Reference!$O$2:$O$10),IF(G53&gt;0,LOOKUP(D53,Reference!$N$2:$N$10,Reference!$P$2:$P$10),"ERROR"))))))</f>
        <v>0</v>
      </c>
      <c r="L53" s="66" t="s">
        <v>361</v>
      </c>
      <c r="M53" s="66">
        <f>IF(E53="V","V",IF(J53="Yes",K53,0)+IF(L53="Yes",CharacterSheet!D160,0))</f>
        <v>0</v>
      </c>
      <c r="N53" s="66" t="s">
        <v>1658</v>
      </c>
      <c r="O53" s="66" t="s">
        <v>508</v>
      </c>
      <c r="P53" s="66" t="s">
        <v>5</v>
      </c>
      <c r="Q53" s="188">
        <v>98</v>
      </c>
    </row>
    <row r="54" spans="1:17" x14ac:dyDescent="0.25">
      <c r="A54" s="86" t="s">
        <v>1316</v>
      </c>
      <c r="B54" s="39" t="s">
        <v>377</v>
      </c>
      <c r="C54" s="39">
        <v>11</v>
      </c>
      <c r="D54" s="66" t="s">
        <v>508</v>
      </c>
      <c r="E54" s="66" t="str">
        <f>LOOKUP(D54,Reference!$B$33:$B$46,Reference!$C$33:$C$46)</f>
        <v>None</v>
      </c>
      <c r="F54" s="66" t="s">
        <v>508</v>
      </c>
      <c r="G54" s="66" t="str">
        <f>LOOKUP(F54,Reference!$D$32:$D$55,Reference!$E$32:$E$55)</f>
        <v>None</v>
      </c>
      <c r="H54" s="66" t="s">
        <v>361</v>
      </c>
      <c r="I54" s="57" t="str">
        <f>IF(OR(E54="V",G54="V"),"V",IF(AND(E54="None",G54="None"),"None",(IF(E54="None",0,E54)+IF(G54="None",0,G54)+IF(H54="Yes",CharacterSheet!$V$34,0))))</f>
        <v>None</v>
      </c>
      <c r="J54" s="57" t="s">
        <v>361</v>
      </c>
      <c r="K54" s="66">
        <f>IF(J54="no",0,IF(OR(F54="None",F54="Cheval",F54="Legend",F54="Mystery",F54="Prophecy",F54="TsukumoGami"),0,IF(F54="Varies","V",IF(AND(G54=0,CharacterSheet!$R$36="No"),0,IF(AND(G54=0,CharacterSheet!$R$36="Yes"),LOOKUP(D54,Reference!$N$2:$N$10,Reference!$O$2:$O$10),IF(G54&gt;0,LOOKUP(D54,Reference!$N$2:$N$10,Reference!$P$2:$P$10),"ERROR"))))))</f>
        <v>0</v>
      </c>
      <c r="L54" s="66" t="s">
        <v>361</v>
      </c>
      <c r="M54" s="66">
        <f>IF(E54="V","V",IF(J54="Yes",K54,0)+IF(L54="Yes",CharacterSheet!D322,0))</f>
        <v>0</v>
      </c>
      <c r="N54" s="66" t="s">
        <v>1658</v>
      </c>
      <c r="O54" s="66" t="s">
        <v>508</v>
      </c>
      <c r="P54" s="66" t="s">
        <v>5</v>
      </c>
      <c r="Q54" s="188">
        <v>100</v>
      </c>
    </row>
    <row r="55" spans="1:17" x14ac:dyDescent="0.25">
      <c r="A55" s="87" t="s">
        <v>1506</v>
      </c>
      <c r="B55" s="39" t="s">
        <v>378</v>
      </c>
      <c r="C55" s="66">
        <v>11</v>
      </c>
      <c r="D55" s="66" t="s">
        <v>508</v>
      </c>
      <c r="E55" s="66" t="str">
        <f>LOOKUP(D55,Reference!$B$33:$B$46,Reference!$C$33:$C$46)</f>
        <v>None</v>
      </c>
      <c r="F55" s="66" t="s">
        <v>508</v>
      </c>
      <c r="G55" s="66" t="str">
        <f>LOOKUP(F55,Reference!$D$32:$D$55,Reference!$E$32:$E$55)</f>
        <v>None</v>
      </c>
      <c r="H55" s="66" t="s">
        <v>361</v>
      </c>
      <c r="I55" s="57" t="str">
        <f>IF(OR(E55="V",G55="V"),"V",IF(AND(E55="None",G55="None"),"None",(IF(E55="None",0,E55)+IF(G55="None",0,G55)+IF(H55="Yes",CharacterSheet!$V$34,0))))</f>
        <v>None</v>
      </c>
      <c r="J55" s="57" t="s">
        <v>361</v>
      </c>
      <c r="K55" s="66">
        <f>IF(J55="no",0,IF(OR(F55="None",F55="Cheval",F55="Legend",F55="Mystery",F55="Prophecy",F55="TsukumoGami"),0,IF(F55="Varies","V",IF(AND(G55=0,CharacterSheet!$R$36="No"),0,IF(AND(G55=0,CharacterSheet!$R$36="Yes"),LOOKUP(D55,Reference!$N$2:$N$10,Reference!$O$2:$O$10),IF(G55&gt;0,LOOKUP(D55,Reference!$N$2:$N$10,Reference!$P$2:$P$10),"ERROR"))))))</f>
        <v>0</v>
      </c>
      <c r="L55" s="66" t="s">
        <v>361</v>
      </c>
      <c r="M55" s="66">
        <f>IF(E55="V","V",IF(J55="Yes",K55,0)+IF(L55="Yes",CharacterSheet!D271,0))</f>
        <v>0</v>
      </c>
      <c r="N55" s="66" t="s">
        <v>1658</v>
      </c>
      <c r="O55" s="66" t="s">
        <v>508</v>
      </c>
      <c r="P55" s="66" t="s">
        <v>1485</v>
      </c>
      <c r="Q55" s="188">
        <v>19</v>
      </c>
    </row>
    <row r="56" spans="1:17" x14ac:dyDescent="0.25">
      <c r="A56" s="86" t="s">
        <v>1320</v>
      </c>
      <c r="B56" s="39" t="s">
        <v>379</v>
      </c>
      <c r="C56" s="39">
        <v>11</v>
      </c>
      <c r="D56" s="66" t="s">
        <v>508</v>
      </c>
      <c r="E56" s="66" t="str">
        <f>LOOKUP(D56,Reference!$B$33:$B$46,Reference!$C$33:$C$46)</f>
        <v>None</v>
      </c>
      <c r="F56" s="66" t="s">
        <v>508</v>
      </c>
      <c r="G56" s="66" t="str">
        <f>LOOKUP(F56,Reference!$D$32:$D$55,Reference!$E$32:$E$55)</f>
        <v>None</v>
      </c>
      <c r="H56" s="66" t="s">
        <v>361</v>
      </c>
      <c r="I56" s="57" t="str">
        <f>IF(OR(E56="V",G56="V"),"V",IF(AND(E56="None",G56="None"),"None",(IF(E56="None",0,E56)+IF(G56="None",0,G56)+IF(H56="Yes",CharacterSheet!$V$34,0))))</f>
        <v>None</v>
      </c>
      <c r="J56" s="57" t="s">
        <v>361</v>
      </c>
      <c r="K56" s="66">
        <f>IF(J56="no",0,IF(OR(F56="None",F56="Cheval",F56="Legend",F56="Mystery",F56="Prophecy",F56="TsukumoGami"),0,IF(F56="Varies","V",IF(AND(G56=0,CharacterSheet!$R$36="No"),0,IF(AND(G56=0,CharacterSheet!$R$36="Yes"),LOOKUP(D56,Reference!$N$2:$N$10,Reference!$O$2:$O$10),IF(G56&gt;0,LOOKUP(D56,Reference!$N$2:$N$10,Reference!$P$2:$P$10),"ERROR"))))))</f>
        <v>0</v>
      </c>
      <c r="L56" s="66" t="s">
        <v>361</v>
      </c>
      <c r="M56" s="66">
        <f>IF(E56="V","V",IF(J56="Yes",K56,0)+IF(L56="Yes",CharacterSheet!D338,0))</f>
        <v>0</v>
      </c>
      <c r="N56" s="66" t="s">
        <v>1658</v>
      </c>
      <c r="O56" s="66" t="s">
        <v>508</v>
      </c>
      <c r="P56" s="66" t="s">
        <v>5</v>
      </c>
      <c r="Q56" s="188">
        <v>101</v>
      </c>
    </row>
    <row r="57" spans="1:17" x14ac:dyDescent="0.25">
      <c r="A57" s="86" t="s">
        <v>1324</v>
      </c>
      <c r="B57" s="39" t="s">
        <v>380</v>
      </c>
      <c r="C57" s="39">
        <v>11</v>
      </c>
      <c r="D57" s="66" t="s">
        <v>508</v>
      </c>
      <c r="E57" s="66" t="str">
        <f>LOOKUP(D57,Reference!$B$33:$B$46,Reference!$C$33:$C$46)</f>
        <v>None</v>
      </c>
      <c r="F57" s="66" t="s">
        <v>508</v>
      </c>
      <c r="G57" s="66" t="str">
        <f>LOOKUP(F57,Reference!$D$32:$D$55,Reference!$E$32:$E$55)</f>
        <v>None</v>
      </c>
      <c r="H57" s="66" t="s">
        <v>361</v>
      </c>
      <c r="I57" s="57" t="str">
        <f>IF(OR(E57="V",G57="V"),"V",IF(AND(E57="None",G57="None"),"None",(IF(E57="None",0,E57)+IF(G57="None",0,G57)+IF(H57="Yes",CharacterSheet!$V$34,0))))</f>
        <v>None</v>
      </c>
      <c r="J57" s="57" t="s">
        <v>361</v>
      </c>
      <c r="K57" s="66">
        <f>IF(J57="no",0,IF(OR(F57="None",F57="Cheval",F57="Legend",F57="Mystery",F57="Prophecy",F57="TsukumoGami"),0,IF(F57="Varies","V",IF(AND(G57=0,CharacterSheet!$R$36="No"),0,IF(AND(G57=0,CharacterSheet!$R$36="Yes"),LOOKUP(D57,Reference!$N$2:$N$10,Reference!$O$2:$O$10),IF(G57&gt;0,LOOKUP(D57,Reference!$N$2:$N$10,Reference!$P$2:$P$10),"ERROR"))))))</f>
        <v>0</v>
      </c>
      <c r="L57" s="66" t="s">
        <v>361</v>
      </c>
      <c r="M57" s="66">
        <f>IF(E57="V","V",IF(J57="Yes",K57,0)+IF(L57="Yes",CharacterSheet!D300,0))</f>
        <v>0</v>
      </c>
      <c r="N57" s="66" t="s">
        <v>1658</v>
      </c>
      <c r="O57" s="66" t="s">
        <v>508</v>
      </c>
      <c r="P57" s="66" t="s">
        <v>5</v>
      </c>
      <c r="Q57" s="188">
        <v>103</v>
      </c>
    </row>
    <row r="58" spans="1:17" x14ac:dyDescent="0.25">
      <c r="A58" s="86" t="s">
        <v>1328</v>
      </c>
      <c r="B58" s="39" t="s">
        <v>381</v>
      </c>
      <c r="C58" s="39">
        <v>11</v>
      </c>
      <c r="D58" s="66" t="s">
        <v>508</v>
      </c>
      <c r="E58" s="66" t="str">
        <f>LOOKUP(D58,Reference!$B$33:$B$46,Reference!$C$33:$C$46)</f>
        <v>None</v>
      </c>
      <c r="F58" s="66" t="s">
        <v>508</v>
      </c>
      <c r="G58" s="66" t="str">
        <f>LOOKUP(F58,Reference!$D$32:$D$55,Reference!$E$32:$E$55)</f>
        <v>None</v>
      </c>
      <c r="H58" s="66" t="s">
        <v>361</v>
      </c>
      <c r="I58" s="57" t="str">
        <f>IF(OR(E58="V",G58="V"),"V",IF(AND(E58="None",G58="None"),"None",(IF(E58="None",0,E58)+IF(G58="None",0,G58)+IF(H58="Yes",CharacterSheet!$V$34,0))))</f>
        <v>None</v>
      </c>
      <c r="J58" s="57" t="s">
        <v>361</v>
      </c>
      <c r="K58" s="66">
        <f>IF(J58="no",0,IF(OR(F58="None",F58="Cheval",F58="Legend",F58="Mystery",F58="Prophecy",F58="TsukumoGami"),0,IF(F58="Varies","V",IF(AND(G58=0,CharacterSheet!$R$36="No"),0,IF(AND(G58=0,CharacterSheet!$R$36="Yes"),LOOKUP(D58,Reference!$N$2:$N$10,Reference!$O$2:$O$10),IF(G58&gt;0,LOOKUP(D58,Reference!$N$2:$N$10,Reference!$P$2:$P$10),"ERROR"))))))</f>
        <v>0</v>
      </c>
      <c r="L58" s="66" t="s">
        <v>361</v>
      </c>
      <c r="M58" s="66">
        <f>IF(E58="V","V",IF(J58="Yes",K58,0)+IF(L58="Yes",CharacterSheet!D143,0))</f>
        <v>0</v>
      </c>
      <c r="N58" s="66" t="s">
        <v>1658</v>
      </c>
      <c r="O58" s="66" t="s">
        <v>508</v>
      </c>
      <c r="P58" s="66" t="s">
        <v>5</v>
      </c>
      <c r="Q58" s="188">
        <v>104</v>
      </c>
    </row>
    <row r="59" spans="1:17" x14ac:dyDescent="0.25">
      <c r="A59" s="86" t="s">
        <v>1459</v>
      </c>
      <c r="B59" s="39" t="s">
        <v>180</v>
      </c>
      <c r="C59" s="39">
        <v>6</v>
      </c>
      <c r="D59" s="66" t="s">
        <v>21</v>
      </c>
      <c r="E59" s="66">
        <f>LOOKUP(D59,Reference!$B$33:$B$46,Reference!$C$33:$C$46)</f>
        <v>1</v>
      </c>
      <c r="F59" s="66" t="s">
        <v>41</v>
      </c>
      <c r="G59" s="66">
        <f>LOOKUP(F59,Reference!$D$32:$D$55,Reference!$E$32:$E$55)</f>
        <v>0</v>
      </c>
      <c r="H59" s="66" t="s">
        <v>361</v>
      </c>
      <c r="I59" s="57">
        <f>IF(OR(E59="V",G59="V"),"V",IF(AND(E59="None",G59="None"),"None",(IF(E59="None",0,E59)+IF(G59="None",0,G59)+IF(H59="Yes",CharacterSheet!$V$34,0))))</f>
        <v>1</v>
      </c>
      <c r="J59" s="57" t="s">
        <v>360</v>
      </c>
      <c r="K59" s="66">
        <f>IF(J59="no",0,IF(OR(F59="None",F59="Cheval",F59="Legend",F59="Mystery",F59="Prophecy",F59="TsukumoGami"),0,IF(F59="Varies","V",IF(AND(G59=0,CharacterSheet!$R$36="No"),0,IF(AND(G59=0,CharacterSheet!$R$36="Yes"),LOOKUP(D59,Reference!$N$2:$N$10,Reference!$O$2:$O$10),IF(G59&gt;0,LOOKUP(D59,Reference!$N$2:$N$10,Reference!$P$2:$P$10),"ERROR"))))))</f>
        <v>0</v>
      </c>
      <c r="L59" s="66" t="s">
        <v>361</v>
      </c>
      <c r="M59" s="66">
        <f>IF(E59="V","V",IF(J59="Yes",K59,0)+IF(L59="Yes",CharacterSheet!D66,0))</f>
        <v>0</v>
      </c>
      <c r="N59" s="66" t="s">
        <v>1722</v>
      </c>
      <c r="O59" s="66" t="s">
        <v>1545</v>
      </c>
      <c r="P59" s="66" t="s">
        <v>1068</v>
      </c>
      <c r="Q59" s="188">
        <v>174</v>
      </c>
    </row>
    <row r="60" spans="1:17" x14ac:dyDescent="0.25">
      <c r="A60" s="87" t="s">
        <v>1537</v>
      </c>
      <c r="B60" s="66" t="s">
        <v>385</v>
      </c>
      <c r="C60" s="66">
        <v>6</v>
      </c>
      <c r="D60" s="66" t="s">
        <v>17</v>
      </c>
      <c r="E60" s="66">
        <f>LOOKUP(D60,Reference!$B$33:$B$46,Reference!$C$33:$C$46)</f>
        <v>1</v>
      </c>
      <c r="F60" s="66" t="s">
        <v>49</v>
      </c>
      <c r="G60" s="66">
        <f>LOOKUP(F60,Reference!$D$32:$D$55,Reference!$E$32:$E$55)</f>
        <v>0</v>
      </c>
      <c r="H60" s="66" t="s">
        <v>361</v>
      </c>
      <c r="I60" s="57">
        <f>IF(OR(E60="V",G60="V"),"V",IF(AND(E60="None",G60="None"),"None",(IF(E60="None",0,E60)+IF(G60="None",0,G60)+IF(H60="Yes",CharacterSheet!$V$34,0))))</f>
        <v>1</v>
      </c>
      <c r="J60" s="57" t="s">
        <v>360</v>
      </c>
      <c r="K60" s="66">
        <f>IF(J60="no",0,IF(OR(F60="None",F60="Cheval",F60="Legend",F60="Mystery",F60="Prophecy",F60="TsukumoGami"),0,IF(F60="Varies","V",IF(AND(G60=0,CharacterSheet!$R$36="No"),0,IF(AND(G60=0,CharacterSheet!$R$36="Yes"),LOOKUP(D60,Reference!$N$2:$N$10,Reference!$O$2:$O$10),IF(G60&gt;0,LOOKUP(D60,Reference!$N$2:$N$10,Reference!$P$2:$P$10),"ERROR"))))))</f>
        <v>0</v>
      </c>
      <c r="L60" s="66" t="s">
        <v>361</v>
      </c>
      <c r="M60" s="66">
        <f>IF(E60="V","V",IF(J60="Yes",K60,0)+IF(L60="Yes",CharacterSheet!D291,0))</f>
        <v>0</v>
      </c>
      <c r="N60" s="66" t="s">
        <v>1630</v>
      </c>
      <c r="O60" s="66" t="s">
        <v>1620</v>
      </c>
      <c r="P60" s="66" t="s">
        <v>1507</v>
      </c>
      <c r="Q60" s="188">
        <v>45</v>
      </c>
    </row>
    <row r="61" spans="1:17" x14ac:dyDescent="0.25">
      <c r="A61" s="86" t="s">
        <v>1241</v>
      </c>
      <c r="B61" s="39" t="s">
        <v>188</v>
      </c>
      <c r="C61" s="39">
        <v>7</v>
      </c>
      <c r="D61" s="66" t="s">
        <v>16</v>
      </c>
      <c r="E61" s="66">
        <f>LOOKUP(D61,Reference!$B$33:$B$46,Reference!$C$33:$C$46)</f>
        <v>1</v>
      </c>
      <c r="F61" s="66" t="s">
        <v>49</v>
      </c>
      <c r="G61" s="66">
        <f>LOOKUP(F61,Reference!$D$32:$D$55,Reference!$E$32:$E$55)</f>
        <v>0</v>
      </c>
      <c r="H61" s="66" t="s">
        <v>361</v>
      </c>
      <c r="I61" s="57">
        <f>IF(OR(E61="V",G61="V"),"V",IF(AND(E61="None",G61="None"),"None",(IF(E61="None",0,E61)+IF(G61="None",0,G61)+IF(H61="Yes",CharacterSheet!$V$34,0))))</f>
        <v>1</v>
      </c>
      <c r="J61" s="57" t="s">
        <v>360</v>
      </c>
      <c r="K61" s="66">
        <f>IF(J61="no",0,IF(OR(F61="None",F61="Cheval",F61="Legend",F61="Mystery",F61="Prophecy",F61="TsukumoGami"),0,IF(F61="Varies","V",IF(AND(G61=0,CharacterSheet!$R$36="No"),0,IF(AND(G61=0,CharacterSheet!$R$36="Yes"),LOOKUP(D61,Reference!$N$2:$N$10,Reference!$O$2:$O$10),IF(G61&gt;0,LOOKUP(D61,Reference!$N$2:$N$10,Reference!$P$2:$P$10),"ERROR"))))))</f>
        <v>0</v>
      </c>
      <c r="L61" s="66" t="s">
        <v>361</v>
      </c>
      <c r="M61" s="66">
        <f>IF(E61="V","V",IF(J61="Yes",K61,0)+IF(L61="Yes",CharacterSheet!D132,0))</f>
        <v>0</v>
      </c>
      <c r="N61" s="66" t="s">
        <v>1631</v>
      </c>
      <c r="O61" s="66" t="s">
        <v>1572</v>
      </c>
      <c r="P61" s="66" t="s">
        <v>1067</v>
      </c>
      <c r="Q61" s="188">
        <v>93</v>
      </c>
    </row>
    <row r="62" spans="1:17" x14ac:dyDescent="0.25">
      <c r="A62" s="86" t="s">
        <v>1386</v>
      </c>
      <c r="B62" s="39" t="s">
        <v>190</v>
      </c>
      <c r="C62" s="39">
        <v>5</v>
      </c>
      <c r="D62" s="66" t="s">
        <v>17</v>
      </c>
      <c r="E62" s="66">
        <f>LOOKUP(D62,Reference!$B$33:$B$46,Reference!$C$33:$C$46)</f>
        <v>1</v>
      </c>
      <c r="F62" s="66" t="s">
        <v>51</v>
      </c>
      <c r="G62" s="66">
        <f>LOOKUP(F62,Reference!$D$32:$D$55,Reference!$E$32:$E$55)</f>
        <v>0</v>
      </c>
      <c r="H62" s="66" t="s">
        <v>361</v>
      </c>
      <c r="I62" s="57">
        <f>IF(OR(E62="V",G62="V"),"V",IF(AND(E62="None",G62="None"),"None",(IF(E62="None",0,E62)+IF(G62="None",0,G62)+IF(H62="Yes",CharacterSheet!$V$34,0))))</f>
        <v>1</v>
      </c>
      <c r="J62" s="57" t="s">
        <v>360</v>
      </c>
      <c r="K62" s="66">
        <f>IF(J62="no",0,IF(OR(F62="None",F62="Cheval",F62="Legend",F62="Mystery",F62="Prophecy",F62="TsukumoGami"),0,IF(F62="Varies","V",IF(AND(G62=0,CharacterSheet!$R$36="No"),0,IF(AND(G62=0,CharacterSheet!$R$36="Yes"),LOOKUP(D62,Reference!$N$2:$N$10,Reference!$O$2:$O$10),IF(G62&gt;0,LOOKUP(D62,Reference!$N$2:$N$10,Reference!$P$2:$P$10),"ERROR"))))))</f>
        <v>0</v>
      </c>
      <c r="L62" s="66" t="s">
        <v>361</v>
      </c>
      <c r="M62" s="66">
        <f>IF(E62="V","V",IF(J62="Yes",K62,0)+IF(L62="Yes",CharacterSheet!D385,0))</f>
        <v>0</v>
      </c>
      <c r="N62" s="66" t="s">
        <v>1076</v>
      </c>
      <c r="O62" s="66" t="s">
        <v>1576</v>
      </c>
      <c r="P62" s="66" t="s">
        <v>1068</v>
      </c>
      <c r="Q62" s="188">
        <v>23</v>
      </c>
    </row>
    <row r="63" spans="1:17" x14ac:dyDescent="0.25">
      <c r="A63" s="86" t="s">
        <v>1130</v>
      </c>
      <c r="B63" s="39" t="s">
        <v>380</v>
      </c>
      <c r="C63" s="39">
        <v>2</v>
      </c>
      <c r="D63" s="66" t="s">
        <v>16</v>
      </c>
      <c r="E63" s="66">
        <f>LOOKUP(D63,Reference!$B$33:$B$46,Reference!$C$33:$C$46)</f>
        <v>1</v>
      </c>
      <c r="F63" s="66" t="s">
        <v>51</v>
      </c>
      <c r="G63" s="66">
        <f>LOOKUP(F63,Reference!$D$32:$D$55,Reference!$E$32:$E$55)</f>
        <v>0</v>
      </c>
      <c r="H63" s="66" t="s">
        <v>361</v>
      </c>
      <c r="I63" s="57">
        <f>IF(OR(E63="V",G63="V"),"V",IF(AND(E63="None",G63="None"),"None",(IF(E63="None",0,E63)+IF(G63="None",0,G63)+IF(H63="Yes",CharacterSheet!$V$34,0))))</f>
        <v>1</v>
      </c>
      <c r="J63" s="57" t="s">
        <v>360</v>
      </c>
      <c r="K63" s="66">
        <f>IF(J63="no",0,IF(OR(F63="None",F63="Cheval",F63="Legend",F63="Mystery",F63="Prophecy",F63="TsukumoGami"),0,IF(F63="Varies","V",IF(AND(G63=0,CharacterSheet!$R$36="No"),0,IF(AND(G63=0,CharacterSheet!$R$36="Yes"),LOOKUP(D63,Reference!$N$2:$N$10,Reference!$O$2:$O$10),IF(G63&gt;0,LOOKUP(D63,Reference!$N$2:$N$10,Reference!$P$2:$P$10),"ERROR"))))))</f>
        <v>0</v>
      </c>
      <c r="L63" s="66" t="s">
        <v>361</v>
      </c>
      <c r="M63" s="66">
        <f>IF(E63="V","V",IF(J63="Yes",K63,0)+IF(L63="Yes",CharacterSheet!D263,0))</f>
        <v>0</v>
      </c>
      <c r="N63" s="66" t="s">
        <v>1072</v>
      </c>
      <c r="O63" s="66" t="s">
        <v>1559</v>
      </c>
      <c r="P63" s="66" t="s">
        <v>141</v>
      </c>
      <c r="Q63" s="188">
        <v>148</v>
      </c>
    </row>
    <row r="64" spans="1:17" x14ac:dyDescent="0.25">
      <c r="A64" s="86" t="s">
        <v>1222</v>
      </c>
      <c r="B64" s="39" t="s">
        <v>380</v>
      </c>
      <c r="C64" s="39">
        <v>4</v>
      </c>
      <c r="D64" s="66" t="s">
        <v>19</v>
      </c>
      <c r="E64" s="66">
        <f>LOOKUP(D64,Reference!$B$33:$B$46,Reference!$C$33:$C$46)</f>
        <v>1</v>
      </c>
      <c r="F64" s="66" t="s">
        <v>53</v>
      </c>
      <c r="G64" s="66">
        <f>LOOKUP(F64,Reference!$D$32:$D$55,Reference!$E$32:$E$55)</f>
        <v>0</v>
      </c>
      <c r="H64" s="66" t="s">
        <v>361</v>
      </c>
      <c r="I64" s="57">
        <f>IF(OR(E64="V",G64="V"),"V",IF(AND(E64="None",G64="None"),"None",(IF(E64="None",0,E64)+IF(G64="None",0,G64)+IF(H64="Yes",CharacterSheet!$V$34,0))))</f>
        <v>1</v>
      </c>
      <c r="J64" s="57" t="s">
        <v>360</v>
      </c>
      <c r="K64" s="66">
        <f>IF(J64="no",0,IF(OR(F64="None",F64="Cheval",F64="Legend",F64="Mystery",F64="Prophecy",F64="TsukumoGami"),0,IF(F64="Varies","V",IF(AND(G64=0,CharacterSheet!$R$36="No"),0,IF(AND(G64=0,CharacterSheet!$R$36="Yes"),LOOKUP(D64,Reference!$N$2:$N$10,Reference!$O$2:$O$10),IF(G64&gt;0,LOOKUP(D64,Reference!$N$2:$N$10,Reference!$P$2:$P$10),"ERROR"))))))</f>
        <v>0</v>
      </c>
      <c r="L64" s="66" t="s">
        <v>361</v>
      </c>
      <c r="M64" s="66">
        <f>IF(E64="V","V",IF(J64="Yes",K64,0)+IF(L64="Yes",CharacterSheet!D157,0))</f>
        <v>0</v>
      </c>
      <c r="N64" s="66" t="s">
        <v>1072</v>
      </c>
      <c r="O64" s="66" t="s">
        <v>1745</v>
      </c>
      <c r="P64" s="66" t="s">
        <v>1067</v>
      </c>
      <c r="Q64" s="188">
        <v>88</v>
      </c>
    </row>
    <row r="65" spans="1:17" x14ac:dyDescent="0.25">
      <c r="A65" s="87" t="s">
        <v>1538</v>
      </c>
      <c r="B65" s="66" t="s">
        <v>385</v>
      </c>
      <c r="C65" s="66">
        <v>6</v>
      </c>
      <c r="D65" s="66" t="s">
        <v>17</v>
      </c>
      <c r="E65" s="66">
        <f>LOOKUP(D65,Reference!$B$33:$B$46,Reference!$C$33:$C$46)</f>
        <v>1</v>
      </c>
      <c r="F65" s="66" t="s">
        <v>36</v>
      </c>
      <c r="G65" s="66">
        <f>LOOKUP(F65,Reference!$D$32:$D$55,Reference!$E$32:$E$55)</f>
        <v>0</v>
      </c>
      <c r="H65" s="66" t="s">
        <v>361</v>
      </c>
      <c r="I65" s="57">
        <f>IF(OR(E65="V",G65="V"),"V",IF(AND(E65="None",G65="None"),"None",(IF(E65="None",0,E65)+IF(G65="None",0,G65)+IF(H65="Yes",CharacterSheet!$V$34,0))))</f>
        <v>1</v>
      </c>
      <c r="J65" s="57" t="s">
        <v>360</v>
      </c>
      <c r="K65" s="66">
        <f>IF(J65="no",0,IF(OR(F65="None",F65="Cheval",F65="Legend",F65="Mystery",F65="Prophecy",F65="TsukumoGami"),0,IF(F65="Varies","V",IF(AND(G65=0,CharacterSheet!$R$36="No"),0,IF(AND(G65=0,CharacterSheet!$R$36="Yes"),LOOKUP(D65,Reference!$N$2:$N$10,Reference!$O$2:$O$10),IF(G65&gt;0,LOOKUP(D65,Reference!$N$2:$N$10,Reference!$P$2:$P$10),"ERROR"))))))</f>
        <v>0</v>
      </c>
      <c r="L65" s="66" t="s">
        <v>361</v>
      </c>
      <c r="M65" s="66">
        <f>IF(E65="V","V",IF(J65="Yes",K65,0)+IF(L65="Yes",CharacterSheet!D292,0))</f>
        <v>0</v>
      </c>
      <c r="N65" s="66" t="s">
        <v>1077</v>
      </c>
      <c r="O65" s="66" t="s">
        <v>1744</v>
      </c>
      <c r="P65" s="66" t="s">
        <v>1507</v>
      </c>
      <c r="Q65" s="188">
        <v>45</v>
      </c>
    </row>
    <row r="66" spans="1:17" x14ac:dyDescent="0.25">
      <c r="A66" s="86" t="s">
        <v>1147</v>
      </c>
      <c r="B66" s="39" t="s">
        <v>163</v>
      </c>
      <c r="C66" s="39">
        <v>1</v>
      </c>
      <c r="D66" s="66" t="s">
        <v>508</v>
      </c>
      <c r="E66" s="66" t="str">
        <f>LOOKUP(D66,Reference!$B$33:$B$46,Reference!$C$33:$C$46)</f>
        <v>None</v>
      </c>
      <c r="F66" s="66" t="s">
        <v>508</v>
      </c>
      <c r="G66" s="66" t="str">
        <f>LOOKUP(F66,Reference!$D$32:$D$55,Reference!$E$32:$E$55)</f>
        <v>None</v>
      </c>
      <c r="H66" s="66" t="s">
        <v>361</v>
      </c>
      <c r="I66" s="57" t="str">
        <f>IF(OR(E66="V",G66="V"),"V",IF(AND(E66="None",G66="None"),"None",(IF(E66="None",0,E66)+IF(G66="None",0,G66)+IF(H66="Yes",CharacterSheet!$V$34,0))))</f>
        <v>None</v>
      </c>
      <c r="J66" s="57" t="s">
        <v>361</v>
      </c>
      <c r="K66" s="66">
        <f>IF(J66="no",0,IF(OR(F66="None",F66="Cheval",F66="Legend",F66="Mystery",F66="Prophecy",F66="TsukumoGami"),0,IF(F66="Varies","V",IF(AND(G66=0,CharacterSheet!$R$36="No"),0,IF(AND(G66=0,CharacterSheet!$R$36="Yes"),LOOKUP(D66,Reference!$N$2:$N$10,Reference!$O$2:$O$10),IF(G66&gt;0,LOOKUP(D66,Reference!$N$2:$N$10,Reference!$P$2:$P$10),"ERROR"))))))</f>
        <v>0</v>
      </c>
      <c r="L66" s="66" t="s">
        <v>361</v>
      </c>
      <c r="M66" s="66">
        <f>IF(E66="V","V",IF(J66="Yes",K66,0)+IF(L66="Yes",CharacterSheet!D144,0))</f>
        <v>0</v>
      </c>
      <c r="N66" s="66" t="s">
        <v>1562</v>
      </c>
      <c r="O66" s="66" t="s">
        <v>508</v>
      </c>
      <c r="P66" s="66" t="s">
        <v>141</v>
      </c>
      <c r="Q66" s="188">
        <v>152</v>
      </c>
    </row>
    <row r="67" spans="1:17" x14ac:dyDescent="0.25">
      <c r="A67" s="86" t="s">
        <v>1391</v>
      </c>
      <c r="B67" s="39" t="s">
        <v>190</v>
      </c>
      <c r="C67" s="39">
        <v>10</v>
      </c>
      <c r="D67" s="66" t="s">
        <v>508</v>
      </c>
      <c r="E67" s="66" t="str">
        <f>LOOKUP(D67,Reference!$B$33:$B$46,Reference!$C$33:$C$46)</f>
        <v>None</v>
      </c>
      <c r="F67" s="66" t="s">
        <v>508</v>
      </c>
      <c r="G67" s="66" t="str">
        <f>LOOKUP(F67,Reference!$D$32:$D$55,Reference!$E$32:$E$55)</f>
        <v>None</v>
      </c>
      <c r="H67" s="66" t="s">
        <v>361</v>
      </c>
      <c r="I67" s="57" t="str">
        <f>IF(OR(E67="V",G67="V"),"V",IF(AND(E67="None",G67="None"),"None",(IF(E67="None",0,E67)+IF(G67="None",0,G67)+IF(H67="Yes",CharacterSheet!$V$34,0))))</f>
        <v>None</v>
      </c>
      <c r="J67" s="57" t="s">
        <v>361</v>
      </c>
      <c r="K67" s="66">
        <f>IF(J67="no",0,IF(OR(F67="None",F67="Cheval",F67="Legend",F67="Mystery",F67="Prophecy",F67="TsukumoGami"),0,IF(F67="Varies","V",IF(AND(G67=0,CharacterSheet!$R$36="No"),0,IF(AND(G67=0,CharacterSheet!$R$36="Yes"),LOOKUP(D67,Reference!$N$2:$N$10,Reference!$O$2:$O$10),IF(G67&gt;0,LOOKUP(D67,Reference!$N$2:$N$10,Reference!$P$2:$P$10),"ERROR"))))))</f>
        <v>0</v>
      </c>
      <c r="L67" s="66" t="s">
        <v>361</v>
      </c>
      <c r="M67" s="66">
        <f>IF(E67="V","V",IF(J67="Yes",K67,0)+IF(L67="Yes",CharacterSheet!D80,0))</f>
        <v>0</v>
      </c>
      <c r="N67" s="66" t="s">
        <v>1702</v>
      </c>
      <c r="O67" s="66" t="s">
        <v>508</v>
      </c>
      <c r="P67" s="66" t="s">
        <v>1068</v>
      </c>
      <c r="Q67" s="188">
        <v>25</v>
      </c>
    </row>
    <row r="68" spans="1:17" x14ac:dyDescent="0.25">
      <c r="A68" s="86" t="s">
        <v>1458</v>
      </c>
      <c r="B68" s="39" t="s">
        <v>180</v>
      </c>
      <c r="C68" s="39">
        <v>5</v>
      </c>
      <c r="D68" s="66" t="s">
        <v>17</v>
      </c>
      <c r="E68" s="66">
        <f>LOOKUP(D68,Reference!$B$33:$B$46,Reference!$C$33:$C$46)</f>
        <v>1</v>
      </c>
      <c r="F68" s="66" t="s">
        <v>57</v>
      </c>
      <c r="G68" s="66">
        <f>LOOKUP(F68,Reference!$D$32:$D$55,Reference!$E$32:$E$55)</f>
        <v>0</v>
      </c>
      <c r="H68" s="66" t="s">
        <v>360</v>
      </c>
      <c r="I68" s="57">
        <f>IF(OR(E68="V",G68="V"),"V",IF(AND(E68="None",G68="None"),"None",(IF(E68="None",0,E68)+IF(G68="None",0,G68)+IF(H68="Yes",CharacterSheet!$V$34,0))))</f>
        <v>3</v>
      </c>
      <c r="J68" s="57" t="s">
        <v>360</v>
      </c>
      <c r="K68" s="66">
        <f>IF(J68="no",0,IF(OR(F68="None",F68="Cheval",F68="Legend",F68="Mystery",F68="Prophecy",F68="TsukumoGami"),0,IF(F68="Varies","V",IF(AND(G68=0,CharacterSheet!$R$36="No"),0,IF(AND(G68=0,CharacterSheet!$R$36="Yes"),LOOKUP(D68,Reference!$N$2:$N$10,Reference!$O$2:$O$10),IF(G68&gt;0,LOOKUP(D68,Reference!$N$2:$N$10,Reference!$P$2:$P$10),"ERROR"))))))</f>
        <v>0</v>
      </c>
      <c r="L68" s="66" t="s">
        <v>361</v>
      </c>
      <c r="M68" s="66">
        <f>IF(E68="V","V",IF(J68="Yes",K68,0)+IF(L68="Yes",CharacterSheet!D65,0))</f>
        <v>0</v>
      </c>
      <c r="N68" s="66" t="s">
        <v>1721</v>
      </c>
      <c r="O68" s="66" t="s">
        <v>1741</v>
      </c>
      <c r="P68" s="66" t="s">
        <v>1068</v>
      </c>
      <c r="Q68" s="188">
        <v>173</v>
      </c>
    </row>
    <row r="69" spans="1:17" x14ac:dyDescent="0.25">
      <c r="A69" s="86" t="s">
        <v>1347</v>
      </c>
      <c r="B69" s="39" t="s">
        <v>385</v>
      </c>
      <c r="C69" s="39">
        <v>8</v>
      </c>
      <c r="D69" s="66" t="s">
        <v>17</v>
      </c>
      <c r="E69" s="66">
        <f>LOOKUP(D69,Reference!$B$33:$B$46,Reference!$C$33:$C$46)</f>
        <v>1</v>
      </c>
      <c r="F69" s="66" t="s">
        <v>49</v>
      </c>
      <c r="G69" s="66">
        <f>LOOKUP(F69,Reference!$D$32:$D$55,Reference!$E$32:$E$55)</f>
        <v>0</v>
      </c>
      <c r="H69" s="66" t="s">
        <v>361</v>
      </c>
      <c r="I69" s="57">
        <f>IF(OR(E69="V",G69="V"),"V",IF(AND(E69="None",G69="None"),"None",(IF(E69="None",0,E69)+IF(G69="None",0,G69)+IF(H69="Yes",CharacterSheet!$V$34,0))))</f>
        <v>1</v>
      </c>
      <c r="J69" s="57" t="s">
        <v>360</v>
      </c>
      <c r="K69" s="66">
        <f>IF(J69="no",0,IF(OR(F69="None",F69="Cheval",F69="Legend",F69="Mystery",F69="Prophecy",F69="TsukumoGami"),0,IF(F69="Varies","V",IF(AND(G69=0,CharacterSheet!$R$36="No"),0,IF(AND(G69=0,CharacterSheet!$R$36="Yes"),LOOKUP(D69,Reference!$N$2:$N$10,Reference!$O$2:$O$10),IF(G69&gt;0,LOOKUP(D69,Reference!$N$2:$N$10,Reference!$P$2:$P$10),"ERROR"))))))</f>
        <v>0</v>
      </c>
      <c r="L69" s="66" t="s">
        <v>361</v>
      </c>
      <c r="M69" s="66">
        <f>IF(E69="V","V",IF(J69="Yes",K69,0)+IF(L69="Yes",CharacterSheet!D62,0))</f>
        <v>0</v>
      </c>
      <c r="N69" s="66" t="s">
        <v>1678</v>
      </c>
      <c r="O69" s="66" t="s">
        <v>1620</v>
      </c>
      <c r="P69" s="66" t="s">
        <v>5</v>
      </c>
      <c r="Q69" s="188">
        <v>110</v>
      </c>
    </row>
    <row r="70" spans="1:17" x14ac:dyDescent="0.25">
      <c r="A70" s="86" t="s">
        <v>1190</v>
      </c>
      <c r="B70" s="39" t="s">
        <v>372</v>
      </c>
      <c r="C70" s="39">
        <v>4</v>
      </c>
      <c r="D70" s="66" t="s">
        <v>508</v>
      </c>
      <c r="E70" s="66" t="str">
        <f>LOOKUP(D70,Reference!$B$33:$B$46,Reference!$C$33:$C$46)</f>
        <v>None</v>
      </c>
      <c r="F70" s="66" t="s">
        <v>508</v>
      </c>
      <c r="G70" s="66" t="str">
        <f>LOOKUP(F70,Reference!$D$32:$D$55,Reference!$E$32:$E$55)</f>
        <v>None</v>
      </c>
      <c r="H70" s="66" t="s">
        <v>361</v>
      </c>
      <c r="I70" s="57" t="str">
        <f>IF(OR(E70="V",G70="V"),"V",IF(AND(E70="None",G70="None"),"None",(IF(E70="None",0,E70)+IF(G70="None",0,G70)+IF(H70="Yes",CharacterSheet!$V$34,0))))</f>
        <v>None</v>
      </c>
      <c r="J70" s="57" t="s">
        <v>361</v>
      </c>
      <c r="K70" s="66">
        <f>IF(J70="no",0,IF(OR(F70="None",F70="Cheval",F70="Legend",F70="Mystery",F70="Prophecy",F70="TsukumoGami"),0,IF(F70="Varies","V",IF(AND(G70=0,CharacterSheet!$R$36="No"),0,IF(AND(G70=0,CharacterSheet!$R$36="Yes"),LOOKUP(D70,Reference!$N$2:$N$10,Reference!$O$2:$O$10),IF(G70&gt;0,LOOKUP(D70,Reference!$N$2:$N$10,Reference!$P$2:$P$10),"ERROR"))))))</f>
        <v>0</v>
      </c>
      <c r="L70" s="66" t="s">
        <v>361</v>
      </c>
      <c r="M70" s="66">
        <f>IF(E70="V","V",IF(J70="Yes",K70,0)+IF(L70="Yes",CharacterSheet!D349,0))</f>
        <v>0</v>
      </c>
      <c r="N70" s="66" t="s">
        <v>1582</v>
      </c>
      <c r="O70" s="66" t="s">
        <v>508</v>
      </c>
      <c r="P70" s="66" t="s">
        <v>1067</v>
      </c>
      <c r="Q70" s="188">
        <v>77</v>
      </c>
    </row>
    <row r="71" spans="1:17" x14ac:dyDescent="0.25">
      <c r="A71" s="86" t="s">
        <v>1318</v>
      </c>
      <c r="B71" s="39" t="s">
        <v>379</v>
      </c>
      <c r="C71" s="39">
        <v>9</v>
      </c>
      <c r="D71" s="66" t="s">
        <v>18</v>
      </c>
      <c r="E71" s="66">
        <f>LOOKUP(D71,Reference!$B$33:$B$46,Reference!$C$33:$C$46)</f>
        <v>1</v>
      </c>
      <c r="F71" s="66" t="s">
        <v>51</v>
      </c>
      <c r="G71" s="66">
        <f>LOOKUP(F71,Reference!$D$32:$D$55,Reference!$E$32:$E$55)</f>
        <v>0</v>
      </c>
      <c r="H71" s="66" t="s">
        <v>361</v>
      </c>
      <c r="I71" s="57">
        <f>IF(OR(E71="V",G71="V"),"V",IF(AND(E71="None",G71="None"),"None",(IF(E71="None",0,E71)+IF(G71="None",0,G71)+IF(H71="Yes",CharacterSheet!$V$34,0))))</f>
        <v>1</v>
      </c>
      <c r="J71" s="57" t="s">
        <v>360</v>
      </c>
      <c r="K71" s="66">
        <f>IF(J71="no",0,IF(OR(F71="None",F71="Cheval",F71="Legend",F71="Mystery",F71="Prophecy",F71="TsukumoGami"),0,IF(F71="Varies","V",IF(AND(G71=0,CharacterSheet!$R$36="No"),0,IF(AND(G71=0,CharacterSheet!$R$36="Yes"),LOOKUP(D71,Reference!$N$2:$N$10,Reference!$O$2:$O$10),IF(G71&gt;0,LOOKUP(D71,Reference!$N$2:$N$10,Reference!$P$2:$P$10),"ERROR"))))))</f>
        <v>0</v>
      </c>
      <c r="L71" s="66" t="s">
        <v>361</v>
      </c>
      <c r="M71" s="66">
        <f>IF(E71="V","V",IF(J71="Yes",K71,0)+IF(L71="Yes",CharacterSheet!D52,0))</f>
        <v>0</v>
      </c>
      <c r="N71" s="66" t="s">
        <v>1665</v>
      </c>
      <c r="O71" s="66" t="s">
        <v>1558</v>
      </c>
      <c r="P71" s="66" t="s">
        <v>5</v>
      </c>
      <c r="Q71" s="188">
        <v>100</v>
      </c>
    </row>
    <row r="72" spans="1:17" x14ac:dyDescent="0.25">
      <c r="A72" s="86" t="s">
        <v>1104</v>
      </c>
      <c r="B72" s="39" t="s">
        <v>371</v>
      </c>
      <c r="C72" s="39">
        <v>3</v>
      </c>
      <c r="D72" s="66" t="s">
        <v>14</v>
      </c>
      <c r="E72" s="66">
        <f>LOOKUP(D72,Reference!$B$33:$B$46,Reference!$C$33:$C$46)</f>
        <v>1</v>
      </c>
      <c r="F72" s="66" t="s">
        <v>53</v>
      </c>
      <c r="G72" s="66">
        <f>LOOKUP(F72,Reference!$D$32:$D$55,Reference!$E$32:$E$55)</f>
        <v>0</v>
      </c>
      <c r="H72" s="66" t="s">
        <v>361</v>
      </c>
      <c r="I72" s="57">
        <f>IF(OR(E72="V",G72="V"),"V",IF(AND(E72="None",G72="None"),"None",(IF(E72="None",0,E72)+IF(G72="None",0,G72)+IF(H72="Yes",CharacterSheet!$V$34,0))))</f>
        <v>1</v>
      </c>
      <c r="J72" s="57" t="s">
        <v>360</v>
      </c>
      <c r="K72" s="66">
        <f>IF(J72="no",0,IF(OR(F72="None",F72="Cheval",F72="Legend",F72="Mystery",F72="Prophecy",F72="TsukumoGami"),0,IF(F72="Varies","V",IF(AND(G72=0,CharacterSheet!$R$36="No"),0,IF(AND(G72=0,CharacterSheet!$R$36="Yes"),LOOKUP(D72,Reference!$N$2:$N$10,Reference!$O$2:$O$10),IF(G72&gt;0,LOOKUP(D72,Reference!$N$2:$N$10,Reference!$P$2:$P$10),"ERROR"))))))</f>
        <v>0</v>
      </c>
      <c r="L72" s="66" t="s">
        <v>361</v>
      </c>
      <c r="M72" s="66">
        <f>IF(E72="V","V",IF(J72="Yes",K72,0)+IF(L72="Yes",CharacterSheet!D135,0))</f>
        <v>0</v>
      </c>
      <c r="N72" s="66" t="s">
        <v>1077</v>
      </c>
      <c r="O72" s="66" t="s">
        <v>1552</v>
      </c>
      <c r="P72" s="66" t="s">
        <v>141</v>
      </c>
      <c r="Q72" s="188">
        <v>142</v>
      </c>
    </row>
    <row r="73" spans="1:17" x14ac:dyDescent="0.25">
      <c r="A73" s="86" t="s">
        <v>1321</v>
      </c>
      <c r="B73" s="39" t="s">
        <v>380</v>
      </c>
      <c r="C73" s="39">
        <v>8</v>
      </c>
      <c r="D73" s="66" t="s">
        <v>508</v>
      </c>
      <c r="E73" s="66" t="str">
        <f>LOOKUP(D73,Reference!$B$33:$B$46,Reference!$C$33:$C$46)</f>
        <v>None</v>
      </c>
      <c r="F73" s="66" t="s">
        <v>508</v>
      </c>
      <c r="G73" s="66" t="str">
        <f>LOOKUP(F73,Reference!$D$32:$D$55,Reference!$E$32:$E$55)</f>
        <v>None</v>
      </c>
      <c r="H73" s="66" t="s">
        <v>361</v>
      </c>
      <c r="I73" s="57" t="str">
        <f>IF(OR(E73="V",G73="V"),"V",IF(AND(E73="None",G73="None"),"None",(IF(E73="None",0,E73)+IF(G73="None",0,G73)+IF(H73="Yes",CharacterSheet!$V$34,0))))</f>
        <v>None</v>
      </c>
      <c r="J73" s="57" t="s">
        <v>361</v>
      </c>
      <c r="K73" s="66">
        <f>IF(J73="no",0,IF(OR(F73="None",F73="Cheval",F73="Legend",F73="Mystery",F73="Prophecy",F73="TsukumoGami"),0,IF(F73="Varies","V",IF(AND(G73=0,CharacterSheet!$R$36="No"),0,IF(AND(G73=0,CharacterSheet!$R$36="Yes"),LOOKUP(D73,Reference!$N$2:$N$10,Reference!$O$2:$O$10),IF(G73&gt;0,LOOKUP(D73,Reference!$N$2:$N$10,Reference!$P$2:$P$10),"ERROR"))))))</f>
        <v>0</v>
      </c>
      <c r="L73" s="66" t="s">
        <v>361</v>
      </c>
      <c r="M73" s="66">
        <f>IF(E73="V","V",IF(J73="Yes",K73,0)+IF(L73="Yes",CharacterSheet!D77,0))</f>
        <v>0</v>
      </c>
      <c r="N73" s="66" t="s">
        <v>1657</v>
      </c>
      <c r="O73" s="66" t="s">
        <v>508</v>
      </c>
      <c r="P73" s="66" t="s">
        <v>5</v>
      </c>
      <c r="Q73" s="188">
        <v>101</v>
      </c>
    </row>
    <row r="74" spans="1:17" x14ac:dyDescent="0.25">
      <c r="A74" s="86" t="s">
        <v>1129</v>
      </c>
      <c r="B74" s="39" t="s">
        <v>380</v>
      </c>
      <c r="C74" s="39">
        <v>1</v>
      </c>
      <c r="D74" s="66" t="s">
        <v>16</v>
      </c>
      <c r="E74" s="66">
        <f>LOOKUP(D74,Reference!$B$33:$B$46,Reference!$C$33:$C$46)</f>
        <v>1</v>
      </c>
      <c r="F74" s="66" t="s">
        <v>40</v>
      </c>
      <c r="G74" s="66">
        <f>LOOKUP(F74,Reference!$D$32:$D$55,Reference!$E$32:$E$55)</f>
        <v>0</v>
      </c>
      <c r="H74" s="66" t="s">
        <v>361</v>
      </c>
      <c r="I74" s="57">
        <f>IF(OR(E74="V",G74="V"),"V",IF(AND(E74="None",G74="None"),"None",(IF(E74="None",0,E74)+IF(G74="None",0,G74)+IF(H74="Yes",CharacterSheet!$V$34,0))))</f>
        <v>1</v>
      </c>
      <c r="J74" s="57" t="s">
        <v>360</v>
      </c>
      <c r="K74" s="66">
        <f>IF(J74="no",0,IF(OR(F74="None",F74="Cheval",F74="Legend",F74="Mystery",F74="Prophecy",F74="TsukumoGami"),0,IF(F74="Varies","V",IF(AND(G74=0,CharacterSheet!$R$36="No"),0,IF(AND(G74=0,CharacterSheet!$R$36="Yes"),LOOKUP(D74,Reference!$N$2:$N$10,Reference!$O$2:$O$10),IF(G74&gt;0,LOOKUP(D74,Reference!$N$2:$N$10,Reference!$P$2:$P$10),"ERROR"))))))</f>
        <v>0</v>
      </c>
      <c r="L74" s="66" t="s">
        <v>361</v>
      </c>
      <c r="M74" s="66">
        <f>IF(E74="V","V",IF(J74="Yes",K74,0)+IF(L74="Yes",CharacterSheet!D150,0))</f>
        <v>0</v>
      </c>
      <c r="N74" s="66" t="s">
        <v>508</v>
      </c>
      <c r="O74" s="66" t="s">
        <v>1549</v>
      </c>
      <c r="P74" s="66" t="s">
        <v>141</v>
      </c>
      <c r="Q74" s="188">
        <v>148</v>
      </c>
    </row>
    <row r="75" spans="1:17" x14ac:dyDescent="0.25">
      <c r="A75" s="86" t="s">
        <v>1112</v>
      </c>
      <c r="B75" s="39" t="s">
        <v>115</v>
      </c>
      <c r="C75" s="39">
        <v>2</v>
      </c>
      <c r="D75" s="66" t="s">
        <v>14</v>
      </c>
      <c r="E75" s="66">
        <f>LOOKUP(D75,Reference!$B$33:$B$46,Reference!$C$33:$C$46)</f>
        <v>1</v>
      </c>
      <c r="F75" s="66" t="s">
        <v>47</v>
      </c>
      <c r="G75" s="66">
        <f>LOOKUP(F75,Reference!$D$32:$D$55,Reference!$E$32:$E$55)</f>
        <v>0</v>
      </c>
      <c r="H75" s="66" t="s">
        <v>361</v>
      </c>
      <c r="I75" s="57">
        <f>IF(OR(E75="V",G75="V"),"V",IF(AND(E75="None",G75="None"),"None",(IF(E75="None",0,E75)+IF(G75="None",0,G75)+IF(H75="Yes",CharacterSheet!$V$34,0))))</f>
        <v>1</v>
      </c>
      <c r="J75" s="57" t="s">
        <v>360</v>
      </c>
      <c r="K75" s="66">
        <f>IF(J75="no",0,IF(OR(F75="None",F75="Cheval",F75="Legend",F75="Mystery",F75="Prophecy",F75="TsukumoGami"),0,IF(F75="Varies","V",IF(AND(G75=0,CharacterSheet!$R$36="No"),0,IF(AND(G75=0,CharacterSheet!$R$36="Yes"),LOOKUP(D75,Reference!$N$2:$N$10,Reference!$O$2:$O$10),IF(G75&gt;0,LOOKUP(D75,Reference!$N$2:$N$10,Reference!$P$2:$P$10),"ERROR"))))))</f>
        <v>0</v>
      </c>
      <c r="L75" s="66" t="s">
        <v>361</v>
      </c>
      <c r="M75" s="66">
        <f>IF(E75="V","V",IF(J75="Yes",K75,0)+IF(L75="Yes",CharacterSheet!D419,0))</f>
        <v>0</v>
      </c>
      <c r="N75" s="66" t="s">
        <v>1072</v>
      </c>
      <c r="O75" s="66" t="s">
        <v>1554</v>
      </c>
      <c r="P75" s="66" t="s">
        <v>141</v>
      </c>
      <c r="Q75" s="188">
        <v>144</v>
      </c>
    </row>
    <row r="76" spans="1:17" x14ac:dyDescent="0.25">
      <c r="A76" s="87" t="s">
        <v>1514</v>
      </c>
      <c r="B76" s="66" t="s">
        <v>704</v>
      </c>
      <c r="C76" s="39">
        <v>7</v>
      </c>
      <c r="D76" s="66" t="s">
        <v>14</v>
      </c>
      <c r="E76" s="66">
        <f>LOOKUP(D76,Reference!$B$33:$B$46,Reference!$C$33:$C$46)</f>
        <v>1</v>
      </c>
      <c r="F76" s="66" t="s">
        <v>57</v>
      </c>
      <c r="G76" s="66">
        <f>LOOKUP(F76,Reference!$D$32:$D$55,Reference!$E$32:$E$55)</f>
        <v>0</v>
      </c>
      <c r="H76" s="66" t="s">
        <v>361</v>
      </c>
      <c r="I76" s="57">
        <f>IF(OR(E76="V",G76="V"),"V",IF(AND(E76="None",G76="None"),"None",(IF(E76="None",0,E76)+IF(G76="None",0,G76)+IF(H76="Yes",CharacterSheet!$V$34,0))))</f>
        <v>1</v>
      </c>
      <c r="J76" s="57" t="s">
        <v>360</v>
      </c>
      <c r="K76" s="66">
        <f>IF(J76="no",0,IF(OR(F76="None",F76="Cheval",F76="Legend",F76="Mystery",F76="Prophecy",F76="TsukumoGami"),0,IF(F76="Varies","V",IF(AND(G76=0,CharacterSheet!$R$36="No"),0,IF(AND(G76=0,CharacterSheet!$R$36="Yes"),LOOKUP(D76,Reference!$N$2:$N$10,Reference!$O$2:$O$10),IF(G76&gt;0,LOOKUP(D76,Reference!$N$2:$N$10,Reference!$P$2:$P$10),"ERROR"))))))</f>
        <v>0</v>
      </c>
      <c r="L76" s="66" t="s">
        <v>361</v>
      </c>
      <c r="M76" s="66">
        <f>IF(E76="V","V",IF(J76="Yes",K76,0)+IF(L76="Yes",CharacterSheet!D185,0))</f>
        <v>0</v>
      </c>
      <c r="N76" s="66" t="s">
        <v>1630</v>
      </c>
      <c r="O76" s="66" t="s">
        <v>1616</v>
      </c>
      <c r="P76" s="66" t="s">
        <v>1507</v>
      </c>
      <c r="Q76" s="188">
        <v>37</v>
      </c>
    </row>
    <row r="77" spans="1:17" x14ac:dyDescent="0.25">
      <c r="A77" s="87" t="s">
        <v>1536</v>
      </c>
      <c r="B77" s="66" t="s">
        <v>385</v>
      </c>
      <c r="C77" s="66">
        <v>3</v>
      </c>
      <c r="D77" s="66" t="s">
        <v>1086</v>
      </c>
      <c r="E77" s="66" t="str">
        <f>LOOKUP(D77,Reference!$B$33:$B$46,Reference!$C$33:$C$46)</f>
        <v>V</v>
      </c>
      <c r="F77" s="66" t="s">
        <v>1086</v>
      </c>
      <c r="G77" s="66" t="str">
        <f>LOOKUP(F77,Reference!$D$32:$D$55,Reference!$E$32:$E$55)</f>
        <v>V</v>
      </c>
      <c r="H77" s="66" t="s">
        <v>361</v>
      </c>
      <c r="I77" s="57" t="str">
        <f>IF(OR(E77="V",G77="V"),"V",IF(AND(E77="None",G77="None"),"None",(IF(E77="None",0,E77)+IF(G77="None",0,G77)+IF(H77="Yes",CharacterSheet!$V$34,0))))</f>
        <v>V</v>
      </c>
      <c r="J77" s="57" t="s">
        <v>360</v>
      </c>
      <c r="K77" s="66" t="str">
        <f>IF(J77="no",0,IF(OR(F77="None",F77="Cheval",F77="Legend",F77="Mystery",F77="Prophecy",F77="TsukumoGami"),0,IF(F77="Varies","V",IF(AND(G77=0,CharacterSheet!$R$36="No"),0,IF(AND(G77=0,CharacterSheet!$R$36="Yes"),LOOKUP(D77,Reference!$N$2:$N$10,Reference!$O$2:$O$10),IF(G77&gt;0,LOOKUP(D77,Reference!$N$2:$N$10,Reference!$P$2:$P$10),"ERROR"))))))</f>
        <v>V</v>
      </c>
      <c r="L77" s="66" t="s">
        <v>361</v>
      </c>
      <c r="M77" s="66" t="str">
        <f>IF(E77="V","V",IF(J77="Yes",K77,0)+IF(L77="Yes",CharacterSheet!D290,0))</f>
        <v>V</v>
      </c>
      <c r="N77" s="66" t="s">
        <v>1072</v>
      </c>
      <c r="O77" s="66" t="s">
        <v>1086</v>
      </c>
      <c r="P77" s="66" t="s">
        <v>1507</v>
      </c>
      <c r="Q77" s="188">
        <v>45</v>
      </c>
    </row>
    <row r="78" spans="1:17" x14ac:dyDescent="0.25">
      <c r="A78" s="86" t="s">
        <v>1385</v>
      </c>
      <c r="B78" s="39" t="s">
        <v>190</v>
      </c>
      <c r="C78" s="39">
        <v>4</v>
      </c>
      <c r="D78" s="66" t="s">
        <v>16</v>
      </c>
      <c r="E78" s="66">
        <f>LOOKUP(D78,Reference!$B$33:$B$46,Reference!$C$33:$C$46)</f>
        <v>1</v>
      </c>
      <c r="F78" s="66" t="s">
        <v>41</v>
      </c>
      <c r="G78" s="66">
        <f>LOOKUP(F78,Reference!$D$32:$D$55,Reference!$E$32:$E$55)</f>
        <v>0</v>
      </c>
      <c r="H78" s="66" t="s">
        <v>361</v>
      </c>
      <c r="I78" s="57">
        <f>IF(OR(E78="V",G78="V"),"V",IF(AND(E78="None",G78="None"),"None",(IF(E78="None",0,E78)+IF(G78="None",0,G78)+IF(H78="Yes",CharacterSheet!$V$34,0))))</f>
        <v>1</v>
      </c>
      <c r="J78" s="57" t="s">
        <v>360</v>
      </c>
      <c r="K78" s="66">
        <f>IF(J78="no",0,IF(OR(F78="None",F78="Cheval",F78="Legend",F78="Mystery",F78="Prophecy",F78="TsukumoGami"),0,IF(F78="Varies","V",IF(AND(G78=0,CharacterSheet!$R$36="No"),0,IF(AND(G78=0,CharacterSheet!$R$36="Yes"),LOOKUP(D78,Reference!$N$2:$N$10,Reference!$O$2:$O$10),IF(G78&gt;0,LOOKUP(D78,Reference!$N$2:$N$10,Reference!$P$2:$P$10),"ERROR"))))))</f>
        <v>0</v>
      </c>
      <c r="L78" s="66" t="s">
        <v>361</v>
      </c>
      <c r="M78" s="66">
        <f>IF(E78="V","V",IF(J78="Yes",K78,0)+IF(L78="Yes",CharacterSheet!D388,0))</f>
        <v>0</v>
      </c>
      <c r="N78" s="66" t="s">
        <v>1086</v>
      </c>
      <c r="O78" s="66" t="s">
        <v>1570</v>
      </c>
      <c r="P78" s="66" t="s">
        <v>1068</v>
      </c>
      <c r="Q78" s="188">
        <v>23</v>
      </c>
    </row>
    <row r="79" spans="1:17" x14ac:dyDescent="0.25">
      <c r="A79" s="86" t="s">
        <v>1418</v>
      </c>
      <c r="B79" s="39" t="s">
        <v>115</v>
      </c>
      <c r="C79" s="39">
        <v>2</v>
      </c>
      <c r="D79" s="66" t="s">
        <v>14</v>
      </c>
      <c r="E79" s="66">
        <f>LOOKUP(D79,Reference!$B$33:$B$46,Reference!$C$33:$C$46)</f>
        <v>1</v>
      </c>
      <c r="F79" s="66" t="s">
        <v>47</v>
      </c>
      <c r="G79" s="66">
        <f>LOOKUP(F79,Reference!$D$32:$D$55,Reference!$E$32:$E$55)</f>
        <v>0</v>
      </c>
      <c r="H79" s="66" t="s">
        <v>361</v>
      </c>
      <c r="I79" s="57">
        <f>IF(OR(E79="V",G79="V"),"V",IF(AND(E79="None",G79="None"),"None",(IF(E79="None",0,E79)+IF(G79="None",0,G79)+IF(H79="Yes",CharacterSheet!$V$34,0))))</f>
        <v>1</v>
      </c>
      <c r="J79" s="57" t="s">
        <v>360</v>
      </c>
      <c r="K79" s="66">
        <f>IF(J79="no",0,IF(OR(F79="None",F79="Cheval",F79="Legend",F79="Mystery",F79="Prophecy",F79="TsukumoGami"),0,IF(F79="Varies","V",IF(AND(G79=0,CharacterSheet!$R$36="No"),0,IF(AND(G79=0,CharacterSheet!$R$36="Yes"),LOOKUP(D79,Reference!$N$2:$N$10,Reference!$O$2:$O$10),IF(G79&gt;0,LOOKUP(D79,Reference!$N$2:$N$10,Reference!$P$2:$P$10),"ERROR"))))))</f>
        <v>0</v>
      </c>
      <c r="L79" s="66" t="s">
        <v>361</v>
      </c>
      <c r="M79" s="66">
        <f>IF(E79="V","V",IF(J79="Yes",K79,0)+IF(L79="Yes",CharacterSheet!D174,0))</f>
        <v>0</v>
      </c>
      <c r="N79" s="66" t="s">
        <v>1072</v>
      </c>
      <c r="O79" s="66" t="s">
        <v>1554</v>
      </c>
      <c r="P79" s="66" t="s">
        <v>1068</v>
      </c>
      <c r="Q79" s="188">
        <v>75</v>
      </c>
    </row>
    <row r="80" spans="1:17" x14ac:dyDescent="0.25">
      <c r="A80" s="86" t="s">
        <v>1106</v>
      </c>
      <c r="B80" s="39" t="s">
        <v>372</v>
      </c>
      <c r="C80" s="39">
        <v>2</v>
      </c>
      <c r="D80" s="66" t="s">
        <v>508</v>
      </c>
      <c r="E80" s="66" t="str">
        <f>LOOKUP(D80,Reference!$B$33:$B$46,Reference!$C$33:$C$46)</f>
        <v>None</v>
      </c>
      <c r="F80" s="66" t="s">
        <v>508</v>
      </c>
      <c r="G80" s="66" t="str">
        <f>LOOKUP(F80,Reference!$D$32:$D$55,Reference!$E$32:$E$55)</f>
        <v>None</v>
      </c>
      <c r="H80" s="66" t="s">
        <v>361</v>
      </c>
      <c r="I80" s="57" t="str">
        <f>IF(OR(E80="V",G80="V"),"V",IF(AND(E80="None",G80="None"),"None",(IF(E80="None",0,E80)+IF(G80="None",0,G80)+IF(H80="Yes",CharacterSheet!$V$34,0))))</f>
        <v>None</v>
      </c>
      <c r="J80" s="57" t="s">
        <v>361</v>
      </c>
      <c r="K80" s="66">
        <f>IF(J80="no",0,IF(OR(F80="None",F80="Cheval",F80="Legend",F80="Mystery",F80="Prophecy",F80="TsukumoGami"),0,IF(F80="Varies","V",IF(AND(G80=0,CharacterSheet!$R$36="No"),0,IF(AND(G80=0,CharacterSheet!$R$36="Yes"),LOOKUP(D80,Reference!$N$2:$N$10,Reference!$O$2:$O$10),IF(G80&gt;0,LOOKUP(D80,Reference!$N$2:$N$10,Reference!$P$2:$P$10),"ERROR"))))))</f>
        <v>0</v>
      </c>
      <c r="L80" s="66" t="s">
        <v>361</v>
      </c>
      <c r="M80" s="66">
        <f>IF(E80="V","V",IF(J80="Yes",K80,0)+IF(L80="Yes",CharacterSheet!D334,0))</f>
        <v>0</v>
      </c>
      <c r="N80" s="66" t="s">
        <v>1543</v>
      </c>
      <c r="O80" s="66" t="s">
        <v>508</v>
      </c>
      <c r="P80" s="66" t="s">
        <v>141</v>
      </c>
      <c r="Q80" s="188">
        <v>142</v>
      </c>
    </row>
    <row r="81" spans="1:17" x14ac:dyDescent="0.25">
      <c r="A81" s="86" t="s">
        <v>1155</v>
      </c>
      <c r="B81" s="39" t="s">
        <v>385</v>
      </c>
      <c r="C81" s="39">
        <v>2</v>
      </c>
      <c r="D81" s="66" t="s">
        <v>21</v>
      </c>
      <c r="E81" s="66">
        <f>LOOKUP(D81,Reference!$B$33:$B$46,Reference!$C$33:$C$46)</f>
        <v>1</v>
      </c>
      <c r="F81" s="66" t="s">
        <v>49</v>
      </c>
      <c r="G81" s="66">
        <f>LOOKUP(F81,Reference!$D$32:$D$55,Reference!$E$32:$E$55)</f>
        <v>0</v>
      </c>
      <c r="H81" s="66" t="s">
        <v>361</v>
      </c>
      <c r="I81" s="57">
        <f>IF(OR(E81="V",G81="V"),"V",IF(AND(E81="None",G81="None"),"None",(IF(E81="None",0,E81)+IF(G81="None",0,G81)+IF(H81="Yes",CharacterSheet!$V$34,0))))</f>
        <v>1</v>
      </c>
      <c r="J81" s="57" t="s">
        <v>360</v>
      </c>
      <c r="K81" s="66">
        <f>IF(J81="no",0,IF(OR(F81="None",F81="Cheval",F81="Legend",F81="Mystery",F81="Prophecy",F81="TsukumoGami"),0,IF(F81="Varies","V",IF(AND(G81=0,CharacterSheet!$R$36="No"),0,IF(AND(G81=0,CharacterSheet!$R$36="Yes"),LOOKUP(D81,Reference!$N$2:$N$10,Reference!$O$2:$O$10),IF(G81&gt;0,LOOKUP(D81,Reference!$N$2:$N$10,Reference!$P$2:$P$10),"ERROR"))))))</f>
        <v>0</v>
      </c>
      <c r="L81" s="66" t="s">
        <v>361</v>
      </c>
      <c r="M81" s="66">
        <f>IF(E81="V","V",IF(J81="Yes",K81,0)+IF(L81="Yes",CharacterSheet!D90,0))</f>
        <v>0</v>
      </c>
      <c r="N81" s="66" t="s">
        <v>1072</v>
      </c>
      <c r="O81" s="66" t="s">
        <v>1575</v>
      </c>
      <c r="P81" s="66" t="s">
        <v>141</v>
      </c>
      <c r="Q81" s="188">
        <v>154</v>
      </c>
    </row>
    <row r="82" spans="1:17" x14ac:dyDescent="0.25">
      <c r="A82" s="86" t="s">
        <v>1437</v>
      </c>
      <c r="B82" s="39" t="s">
        <v>385</v>
      </c>
      <c r="C82" s="39">
        <v>4</v>
      </c>
      <c r="D82" s="66" t="s">
        <v>17</v>
      </c>
      <c r="E82" s="66">
        <f>LOOKUP(D82,Reference!$B$33:$B$46,Reference!$C$33:$C$46)</f>
        <v>1</v>
      </c>
      <c r="F82" s="66" t="s">
        <v>49</v>
      </c>
      <c r="G82" s="66">
        <f>LOOKUP(F82,Reference!$D$32:$D$55,Reference!$E$32:$E$55)</f>
        <v>0</v>
      </c>
      <c r="H82" s="66" t="s">
        <v>361</v>
      </c>
      <c r="I82" s="57">
        <f>IF(OR(E82="V",G82="V"),"V",IF(AND(E82="None",G82="None"),"None",(IF(E82="None",0,E82)+IF(G82="None",0,G82)+IF(H82="Yes",CharacterSheet!$V$34,0))))</f>
        <v>1</v>
      </c>
      <c r="J82" s="57" t="s">
        <v>360</v>
      </c>
      <c r="K82" s="66">
        <f>IF(J82="no",0,IF(OR(F82="None",F82="Cheval",F82="Legend",F82="Mystery",F82="Prophecy",F82="TsukumoGami"),0,IF(F82="Varies","V",IF(AND(G82=0,CharacterSheet!$R$36="No"),0,IF(AND(G82=0,CharacterSheet!$R$36="Yes"),LOOKUP(D82,Reference!$N$2:$N$10,Reference!$O$2:$O$10),IF(G82&gt;0,LOOKUP(D82,Reference!$N$2:$N$10,Reference!$P$2:$P$10),"ERROR"))))))</f>
        <v>0</v>
      </c>
      <c r="L82" s="66" t="s">
        <v>361</v>
      </c>
      <c r="M82" s="66">
        <f>IF(E82="V","V",IF(J82="Yes",K82,0)+IF(L82="Yes",CharacterSheet!D430,0))</f>
        <v>0</v>
      </c>
      <c r="N82" s="66" t="s">
        <v>1689</v>
      </c>
      <c r="O82" s="66" t="s">
        <v>1620</v>
      </c>
      <c r="P82" s="66" t="s">
        <v>1068</v>
      </c>
      <c r="Q82" s="188">
        <v>80</v>
      </c>
    </row>
    <row r="83" spans="1:17" x14ac:dyDescent="0.25">
      <c r="A83" s="86" t="s">
        <v>1382</v>
      </c>
      <c r="B83" s="39" t="s">
        <v>190</v>
      </c>
      <c r="C83" s="39">
        <v>1</v>
      </c>
      <c r="D83" s="66" t="s">
        <v>19</v>
      </c>
      <c r="E83" s="66">
        <f>LOOKUP(D83,Reference!$B$33:$B$46,Reference!$C$33:$C$46)</f>
        <v>1</v>
      </c>
      <c r="F83" s="66" t="s">
        <v>41</v>
      </c>
      <c r="G83" s="66">
        <f>LOOKUP(F83,Reference!$D$32:$D$55,Reference!$E$32:$E$55)</f>
        <v>0</v>
      </c>
      <c r="H83" s="66" t="s">
        <v>361</v>
      </c>
      <c r="I83" s="57">
        <f>IF(OR(E83="V",G83="V"),"V",IF(AND(E83="None",G83="None"),"None",(IF(E83="None",0,E83)+IF(G83="None",0,G83)+IF(H83="Yes",CharacterSheet!$V$34,0))))</f>
        <v>1</v>
      </c>
      <c r="J83" s="57" t="s">
        <v>360</v>
      </c>
      <c r="K83" s="66">
        <f>IF(J83="no",0,IF(OR(F83="None",F83="Cheval",F83="Legend",F83="Mystery",F83="Prophecy",F83="TsukumoGami"),0,IF(F83="Varies","V",IF(AND(G83=0,CharacterSheet!$R$36="No"),0,IF(AND(G83=0,CharacterSheet!$R$36="Yes"),LOOKUP(D83,Reference!$N$2:$N$10,Reference!$O$2:$O$10),IF(G83&gt;0,LOOKUP(D83,Reference!$N$2:$N$10,Reference!$P$2:$P$10),"ERROR"))))))</f>
        <v>0</v>
      </c>
      <c r="L83" s="66" t="s">
        <v>361</v>
      </c>
      <c r="M83" s="66">
        <f>IF(E83="V","V",IF(J83="Yes",K83,0)+IF(L83="Yes",CharacterSheet!D140,0))</f>
        <v>0</v>
      </c>
      <c r="N83" s="66" t="s">
        <v>1072</v>
      </c>
      <c r="O83" s="66" t="s">
        <v>1548</v>
      </c>
      <c r="P83" s="66" t="s">
        <v>1068</v>
      </c>
      <c r="Q83" s="188">
        <v>22</v>
      </c>
    </row>
    <row r="84" spans="1:17" x14ac:dyDescent="0.25">
      <c r="A84" s="86" t="s">
        <v>1219</v>
      </c>
      <c r="B84" s="39" t="s">
        <v>379</v>
      </c>
      <c r="C84" s="39">
        <v>5</v>
      </c>
      <c r="D84" s="66" t="s">
        <v>508</v>
      </c>
      <c r="E84" s="66" t="str">
        <f>LOOKUP(D84,Reference!$B$33:$B$46,Reference!$C$33:$C$46)</f>
        <v>None</v>
      </c>
      <c r="F84" s="66" t="s">
        <v>508</v>
      </c>
      <c r="G84" s="66" t="str">
        <f>LOOKUP(F84,Reference!$D$32:$D$55,Reference!$E$32:$E$55)</f>
        <v>None</v>
      </c>
      <c r="H84" s="66" t="s">
        <v>361</v>
      </c>
      <c r="I84" s="57" t="str">
        <f>IF(OR(E84="V",G84="V"),"V",IF(AND(E84="None",G84="None"),"None",(IF(E84="None",0,E84)+IF(G84="None",0,G84)+IF(H84="Yes",CharacterSheet!$V$34,0))))</f>
        <v>None</v>
      </c>
      <c r="J84" s="57" t="s">
        <v>361</v>
      </c>
      <c r="K84" s="66">
        <f>IF(J84="no",0,IF(OR(F84="None",F84="Cheval",F84="Legend",F84="Mystery",F84="Prophecy",F84="TsukumoGami"),0,IF(F84="Varies","V",IF(AND(G84=0,CharacterSheet!$R$36="No"),0,IF(AND(G84=0,CharacterSheet!$R$36="Yes"),LOOKUP(D84,Reference!$N$2:$N$10,Reference!$O$2:$O$10),IF(G84&gt;0,LOOKUP(D84,Reference!$N$2:$N$10,Reference!$P$2:$P$10),"ERROR"))))))</f>
        <v>0</v>
      </c>
      <c r="L84" s="66" t="s">
        <v>361</v>
      </c>
      <c r="M84" s="66">
        <f>IF(E84="V","V",IF(J84="Yes",K84,0)+IF(L84="Yes",CharacterSheet!D378,0))</f>
        <v>0</v>
      </c>
      <c r="N84" s="66" t="s">
        <v>1625</v>
      </c>
      <c r="O84" s="66" t="s">
        <v>508</v>
      </c>
      <c r="P84" s="66" t="s">
        <v>1067</v>
      </c>
      <c r="Q84" s="188">
        <v>88</v>
      </c>
    </row>
    <row r="85" spans="1:17" x14ac:dyDescent="0.25">
      <c r="A85" s="87" t="s">
        <v>1504</v>
      </c>
      <c r="B85" s="39" t="s">
        <v>378</v>
      </c>
      <c r="C85" s="39">
        <v>9</v>
      </c>
      <c r="D85" s="66" t="s">
        <v>508</v>
      </c>
      <c r="E85" s="66" t="str">
        <f>LOOKUP(D85,Reference!$B$33:$B$46,Reference!$C$33:$C$46)</f>
        <v>None</v>
      </c>
      <c r="F85" s="66" t="s">
        <v>508</v>
      </c>
      <c r="G85" s="66" t="str">
        <f>LOOKUP(F85,Reference!$D$32:$D$55,Reference!$E$32:$E$55)</f>
        <v>None</v>
      </c>
      <c r="H85" s="66" t="s">
        <v>361</v>
      </c>
      <c r="I85" s="57" t="str">
        <f>IF(OR(E85="V",G85="V"),"V",IF(AND(E85="None",G85="None"),"None",(IF(E85="None",0,E85)+IF(G85="None",0,G85)+IF(H85="Yes",CharacterSheet!$V$34,0))))</f>
        <v>None</v>
      </c>
      <c r="J85" s="57" t="s">
        <v>361</v>
      </c>
      <c r="K85" s="66">
        <f>IF(J85="no",0,IF(OR(F85="None",F85="Cheval",F85="Legend",F85="Mystery",F85="Prophecy",F85="TsukumoGami"),0,IF(F85="Varies","V",IF(AND(G85=0,CharacterSheet!$R$36="No"),0,IF(AND(G85=0,CharacterSheet!$R$36="Yes"),LOOKUP(D85,Reference!$N$2:$N$10,Reference!$O$2:$O$10),IF(G85&gt;0,LOOKUP(D85,Reference!$N$2:$N$10,Reference!$P$2:$P$10),"ERROR"))))))</f>
        <v>0</v>
      </c>
      <c r="L85" s="66" t="s">
        <v>361</v>
      </c>
      <c r="M85" s="66">
        <f>IF(E85="V","V",IF(J85="Yes",K85,0)+IF(L85="Yes",CharacterSheet!D347,0))</f>
        <v>0</v>
      </c>
      <c r="N85" s="66" t="s">
        <v>1648</v>
      </c>
      <c r="O85" s="66" t="s">
        <v>508</v>
      </c>
      <c r="P85" s="66" t="s">
        <v>1485</v>
      </c>
      <c r="Q85" s="188">
        <v>19</v>
      </c>
    </row>
    <row r="86" spans="1:17" x14ac:dyDescent="0.25">
      <c r="A86" s="86" t="s">
        <v>1134</v>
      </c>
      <c r="B86" s="39" t="s">
        <v>381</v>
      </c>
      <c r="C86" s="39">
        <v>3</v>
      </c>
      <c r="D86" s="66" t="s">
        <v>13</v>
      </c>
      <c r="E86" s="66">
        <f>LOOKUP(D86,Reference!$B$33:$B$46,Reference!$C$33:$C$46)</f>
        <v>1</v>
      </c>
      <c r="F86" s="66" t="s">
        <v>57</v>
      </c>
      <c r="G86" s="66">
        <f>LOOKUP(F86,Reference!$D$32:$D$55,Reference!$E$32:$E$55)</f>
        <v>0</v>
      </c>
      <c r="H86" s="66" t="s">
        <v>361</v>
      </c>
      <c r="I86" s="57">
        <f>IF(OR(E86="V",G86="V"),"V",IF(AND(E86="None",G86="None"),"None",(IF(E86="None",0,E86)+IF(G86="None",0,G86)+IF(H86="Yes",CharacterSheet!$V$34,0))))</f>
        <v>1</v>
      </c>
      <c r="J86" s="57" t="s">
        <v>360</v>
      </c>
      <c r="K86" s="66">
        <f>IF(J86="no",0,IF(OR(F86="None",F86="Cheval",F86="Legend",F86="Mystery",F86="Prophecy",F86="TsukumoGami"),0,IF(F86="Varies","V",IF(AND(G86=0,CharacterSheet!$R$36="No"),0,IF(AND(G86=0,CharacterSheet!$R$36="Yes"),LOOKUP(D86,Reference!$N$2:$N$10,Reference!$O$2:$O$10),IF(G86&gt;0,LOOKUP(D86,Reference!$N$2:$N$10,Reference!$P$2:$P$10),"ERROR"))))))</f>
        <v>0</v>
      </c>
      <c r="L86" s="66" t="s">
        <v>361</v>
      </c>
      <c r="M86" s="66">
        <f>IF(E86="V","V",IF(J86="Yes",K86,0)+IF(L86="Yes",CharacterSheet!D340,0))</f>
        <v>0</v>
      </c>
      <c r="N86" s="66" t="s">
        <v>1626</v>
      </c>
      <c r="O86" s="66" t="s">
        <v>1551</v>
      </c>
      <c r="P86" s="66" t="s">
        <v>141</v>
      </c>
      <c r="Q86" s="188">
        <v>149</v>
      </c>
    </row>
    <row r="87" spans="1:17" x14ac:dyDescent="0.25">
      <c r="A87" s="87" t="s">
        <v>1513</v>
      </c>
      <c r="B87" s="66" t="s">
        <v>704</v>
      </c>
      <c r="C87" s="39">
        <v>6</v>
      </c>
      <c r="D87" s="66" t="s">
        <v>19</v>
      </c>
      <c r="E87" s="66">
        <f>LOOKUP(D87,Reference!$B$33:$B$46,Reference!$C$33:$C$46)</f>
        <v>1</v>
      </c>
      <c r="F87" s="66" t="s">
        <v>46</v>
      </c>
      <c r="G87" s="66">
        <f>LOOKUP(F87,Reference!$D$32:$D$55,Reference!$E$32:$E$55)</f>
        <v>0</v>
      </c>
      <c r="H87" s="66" t="s">
        <v>361</v>
      </c>
      <c r="I87" s="57">
        <f>IF(OR(E87="V",G87="V"),"V",IF(AND(E87="None",G87="None"),"None",(IF(E87="None",0,E87)+IF(G87="None",0,G87)+IF(H87="Yes",CharacterSheet!$V$34,0))))</f>
        <v>1</v>
      </c>
      <c r="J87" s="57" t="s">
        <v>360</v>
      </c>
      <c r="K87" s="66">
        <f>IF(J87="no",0,IF(OR(F87="None",F87="Cheval",F87="Legend",F87="Mystery",F87="Prophecy",F87="TsukumoGami"),0,IF(F87="Varies","V",IF(AND(G87=0,CharacterSheet!$R$36="No"),0,IF(AND(G87=0,CharacterSheet!$R$36="Yes"),LOOKUP(D87,Reference!$N$2:$N$10,Reference!$O$2:$O$10),IF(G87&gt;0,LOOKUP(D87,Reference!$N$2:$N$10,Reference!$P$2:$P$10),"ERROR"))))))</f>
        <v>0</v>
      </c>
      <c r="L87" s="66" t="s">
        <v>361</v>
      </c>
      <c r="M87" s="66">
        <f>IF(E87="V","V",IF(J87="Yes",K87,0)+IF(L87="Yes",CharacterSheet!D128,0))</f>
        <v>0</v>
      </c>
      <c r="N87" s="66" t="s">
        <v>1072</v>
      </c>
      <c r="O87" s="66" t="s">
        <v>1733</v>
      </c>
      <c r="P87" s="66" t="s">
        <v>1507</v>
      </c>
      <c r="Q87" s="188">
        <v>37</v>
      </c>
    </row>
    <row r="88" spans="1:17" x14ac:dyDescent="0.25">
      <c r="A88" s="86" t="s">
        <v>1103</v>
      </c>
      <c r="B88" s="39" t="s">
        <v>371</v>
      </c>
      <c r="C88" s="39">
        <v>2</v>
      </c>
      <c r="D88" s="66" t="s">
        <v>14</v>
      </c>
      <c r="E88" s="66">
        <f>LOOKUP(D88,Reference!$B$33:$B$46,Reference!$C$33:$C$46)</f>
        <v>1</v>
      </c>
      <c r="F88" s="66" t="s">
        <v>53</v>
      </c>
      <c r="G88" s="66">
        <f>LOOKUP(F88,Reference!$D$32:$D$55,Reference!$E$32:$E$55)</f>
        <v>0</v>
      </c>
      <c r="H88" s="66" t="s">
        <v>361</v>
      </c>
      <c r="I88" s="57">
        <f>IF(OR(E88="V",G88="V"),"V",IF(AND(E88="None",G88="None"),"None",(IF(E88="None",0,E88)+IF(G88="None",0,G88)+IF(H88="Yes",CharacterSheet!$V$34,0))))</f>
        <v>1</v>
      </c>
      <c r="J88" s="57" t="s">
        <v>360</v>
      </c>
      <c r="K88" s="66">
        <f>IF(J88="no",0,IF(OR(F88="None",F88="Cheval",F88="Legend",F88="Mystery",F88="Prophecy",F88="TsukumoGami"),0,IF(F88="Varies","V",IF(AND(G88=0,CharacterSheet!$R$36="No"),0,IF(AND(G88=0,CharacterSheet!$R$36="Yes"),LOOKUP(D88,Reference!$N$2:$N$10,Reference!$O$2:$O$10),IF(G88&gt;0,LOOKUP(D88,Reference!$N$2:$N$10,Reference!$P$2:$P$10),"ERROR"))))))</f>
        <v>0</v>
      </c>
      <c r="L88" s="66" t="s">
        <v>361</v>
      </c>
      <c r="M88" s="66">
        <f>IF(E88="V","V",IF(J88="Yes",K88,0)+IF(L88="Yes",CharacterSheet!V34,0))</f>
        <v>0</v>
      </c>
      <c r="N88" s="66" t="s">
        <v>1072</v>
      </c>
      <c r="O88" s="66" t="s">
        <v>1552</v>
      </c>
      <c r="P88" s="66" t="s">
        <v>141</v>
      </c>
      <c r="Q88" s="188">
        <v>142</v>
      </c>
    </row>
    <row r="89" spans="1:17" x14ac:dyDescent="0.25">
      <c r="A89" s="87" t="s">
        <v>1505</v>
      </c>
      <c r="B89" s="39" t="s">
        <v>378</v>
      </c>
      <c r="C89" s="39">
        <v>10</v>
      </c>
      <c r="D89" s="66" t="s">
        <v>13</v>
      </c>
      <c r="E89" s="66">
        <f>LOOKUP(D89,Reference!$B$33:$B$46,Reference!$C$33:$C$46)</f>
        <v>1</v>
      </c>
      <c r="F89" s="66" t="s">
        <v>49</v>
      </c>
      <c r="G89" s="66">
        <f>LOOKUP(F89,Reference!$D$32:$D$55,Reference!$E$32:$E$55)</f>
        <v>0</v>
      </c>
      <c r="H89" s="66" t="s">
        <v>361</v>
      </c>
      <c r="I89" s="57">
        <f>IF(OR(E89="V",G89="V"),"V",IF(AND(E89="None",G89="None"),"None",(IF(E89="None",0,E89)+IF(G89="None",0,G89)+IF(H89="Yes",CharacterSheet!$V$34,0))))</f>
        <v>1</v>
      </c>
      <c r="J89" s="57" t="s">
        <v>360</v>
      </c>
      <c r="K89" s="66">
        <f>IF(J89="no",0,IF(OR(F89="None",F89="Cheval",F89="Legend",F89="Mystery",F89="Prophecy",F89="TsukumoGami"),0,IF(F89="Varies","V",IF(AND(G89=0,CharacterSheet!$R$36="No"),0,IF(AND(G89=0,CharacterSheet!$R$36="Yes"),LOOKUP(D89,Reference!$N$2:$N$10,Reference!$O$2:$O$10),IF(G89&gt;0,LOOKUP(D89,Reference!$N$2:$N$10,Reference!$P$2:$P$10),"ERROR"))))))</f>
        <v>0</v>
      </c>
      <c r="L89" s="66" t="s">
        <v>361</v>
      </c>
      <c r="M89" s="66">
        <f>IF(E89="V","V",IF(J89="Yes",K89,0)+IF(L89="Yes",CharacterSheet!D260,0))</f>
        <v>0</v>
      </c>
      <c r="N89" s="66" t="s">
        <v>1652</v>
      </c>
      <c r="O89" s="66" t="s">
        <v>1623</v>
      </c>
      <c r="P89" s="66" t="s">
        <v>1485</v>
      </c>
      <c r="Q89" s="188">
        <v>19</v>
      </c>
    </row>
    <row r="90" spans="1:17" x14ac:dyDescent="0.25">
      <c r="A90" s="86" t="s">
        <v>1314</v>
      </c>
      <c r="B90" s="39" t="s">
        <v>377</v>
      </c>
      <c r="C90" s="39">
        <v>9</v>
      </c>
      <c r="D90" s="66" t="s">
        <v>508</v>
      </c>
      <c r="E90" s="66" t="str">
        <f>LOOKUP(D90,Reference!$B$33:$B$46,Reference!$C$33:$C$46)</f>
        <v>None</v>
      </c>
      <c r="F90" s="66" t="s">
        <v>508</v>
      </c>
      <c r="G90" s="66" t="str">
        <f>LOOKUP(F90,Reference!$D$32:$D$55,Reference!$E$32:$E$55)</f>
        <v>None</v>
      </c>
      <c r="H90" s="66" t="s">
        <v>361</v>
      </c>
      <c r="I90" s="57" t="str">
        <f>IF(OR(E90="V",G90="V"),"V",IF(AND(E90="None",G90="None"),"None",(IF(E90="None",0,E90)+IF(G90="None",0,G90)+IF(H90="Yes",CharacterSheet!$V$34,0))))</f>
        <v>None</v>
      </c>
      <c r="J90" s="57" t="s">
        <v>361</v>
      </c>
      <c r="K90" s="66">
        <f>IF(J90="no",0,IF(OR(F90="None",F90="Cheval",F90="Legend",F90="Mystery",F90="Prophecy",F90="TsukumoGami"),0,IF(F90="Varies","V",IF(AND(G90=0,CharacterSheet!$R$36="No"),0,IF(AND(G90=0,CharacterSheet!$R$36="Yes"),LOOKUP(D90,Reference!$N$2:$N$10,Reference!$O$2:$O$10),IF(G90&gt;0,LOOKUP(D90,Reference!$N$2:$N$10,Reference!$P$2:$P$10),"ERROR"))))))</f>
        <v>0</v>
      </c>
      <c r="L90" s="66" t="s">
        <v>361</v>
      </c>
      <c r="M90" s="66">
        <f>IF(E90="V","V",IF(J90="Yes",K90,0)+IF(L90="Yes",CharacterSheet!D127,0))</f>
        <v>0</v>
      </c>
      <c r="N90" s="66" t="s">
        <v>1075</v>
      </c>
      <c r="O90" s="66" t="s">
        <v>508</v>
      </c>
      <c r="P90" s="66" t="s">
        <v>5</v>
      </c>
      <c r="Q90" s="188">
        <v>98</v>
      </c>
    </row>
    <row r="91" spans="1:17" x14ac:dyDescent="0.25">
      <c r="A91" s="86" t="s">
        <v>1215</v>
      </c>
      <c r="B91" s="39" t="s">
        <v>377</v>
      </c>
      <c r="C91" s="39">
        <v>5</v>
      </c>
      <c r="D91" s="66" t="s">
        <v>13</v>
      </c>
      <c r="E91" s="66">
        <f>LOOKUP(D91,Reference!$B$33:$B$46,Reference!$C$33:$C$46)</f>
        <v>1</v>
      </c>
      <c r="F91" s="66" t="s">
        <v>55</v>
      </c>
      <c r="G91" s="66">
        <f>LOOKUP(F91,Reference!$D$32:$D$55,Reference!$E$32:$E$55)</f>
        <v>0</v>
      </c>
      <c r="H91" s="66" t="s">
        <v>361</v>
      </c>
      <c r="I91" s="57">
        <f>IF(OR(E91="V",G91="V"),"V",IF(AND(E91="None",G91="None"),"None",(IF(E91="None",0,E91)+IF(G91="None",0,G91)+IF(H91="Yes",CharacterSheet!$V$34,0))))</f>
        <v>1</v>
      </c>
      <c r="J91" s="57" t="s">
        <v>360</v>
      </c>
      <c r="K91" s="66">
        <f>IF(J91="no",0,IF(OR(F91="None",F91="Cheval",F91="Legend",F91="Mystery",F91="Prophecy",F91="TsukumoGami"),0,IF(F91="Varies","V",IF(AND(G91=0,CharacterSheet!$R$36="No"),0,IF(AND(G91=0,CharacterSheet!$R$36="Yes"),LOOKUP(D91,Reference!$N$2:$N$10,Reference!$O$2:$O$10),IF(G91&gt;0,LOOKUP(D91,Reference!$N$2:$N$10,Reference!$P$2:$P$10),"ERROR"))))))</f>
        <v>0</v>
      </c>
      <c r="L91" s="66" t="s">
        <v>361</v>
      </c>
      <c r="M91" s="66">
        <f>IF(E91="V","V",IF(J91="Yes",K91,0)+IF(L91="Yes",CharacterSheet!D329,0))</f>
        <v>0</v>
      </c>
      <c r="N91" s="66" t="s">
        <v>1072</v>
      </c>
      <c r="O91" s="66" t="s">
        <v>1603</v>
      </c>
      <c r="P91" s="66" t="s">
        <v>1067</v>
      </c>
      <c r="Q91" s="188">
        <v>86</v>
      </c>
    </row>
    <row r="92" spans="1:17" x14ac:dyDescent="0.25">
      <c r="A92" s="86" t="s">
        <v>1311</v>
      </c>
      <c r="B92" s="39" t="s">
        <v>376</v>
      </c>
      <c r="C92" s="39">
        <v>10</v>
      </c>
      <c r="D92" s="66" t="s">
        <v>508</v>
      </c>
      <c r="E92" s="66" t="str">
        <f>LOOKUP(D92,Reference!$B$33:$B$46,Reference!$C$33:$C$46)</f>
        <v>None</v>
      </c>
      <c r="F92" s="66" t="s">
        <v>508</v>
      </c>
      <c r="G92" s="66" t="str">
        <f>LOOKUP(F92,Reference!$D$32:$D$55,Reference!$E$32:$E$55)</f>
        <v>None</v>
      </c>
      <c r="H92" s="66" t="s">
        <v>361</v>
      </c>
      <c r="I92" s="57" t="str">
        <f>IF(OR(E92="V",G92="V"),"V",IF(AND(E92="None",G92="None"),"None",(IF(E92="None",0,E92)+IF(G92="None",0,G92)+IF(H92="Yes",CharacterSheet!$V$34,0))))</f>
        <v>None</v>
      </c>
      <c r="J92" s="57" t="s">
        <v>361</v>
      </c>
      <c r="K92" s="66">
        <f>IF(J92="no",0,IF(OR(F92="None",F92="Cheval",F92="Legend",F92="Mystery",F92="Prophecy",F92="TsukumoGami"),0,IF(F92="Varies","V",IF(AND(G92=0,CharacterSheet!$R$36="No"),0,IF(AND(G92=0,CharacterSheet!$R$36="Yes"),LOOKUP(D92,Reference!$N$2:$N$10,Reference!$O$2:$O$10),IF(G92&gt;0,LOOKUP(D92,Reference!$N$2:$N$10,Reference!$P$2:$P$10),"ERROR"))))))</f>
        <v>0</v>
      </c>
      <c r="L92" s="66" t="s">
        <v>361</v>
      </c>
      <c r="M92" s="66">
        <f>IF(E92="V","V",IF(J92="Yes",K92,0)+IF(L92="Yes",CharacterSheet!D229,0))</f>
        <v>0</v>
      </c>
      <c r="N92" s="66" t="s">
        <v>1664</v>
      </c>
      <c r="O92" s="66" t="s">
        <v>508</v>
      </c>
      <c r="P92" s="66" t="s">
        <v>5</v>
      </c>
      <c r="Q92" s="188">
        <v>97</v>
      </c>
    </row>
    <row r="93" spans="1:17" x14ac:dyDescent="0.25">
      <c r="A93" s="86" t="s">
        <v>1225</v>
      </c>
      <c r="B93" s="39" t="s">
        <v>380</v>
      </c>
      <c r="C93" s="39">
        <v>7</v>
      </c>
      <c r="D93" s="66" t="s">
        <v>508</v>
      </c>
      <c r="E93" s="66" t="str">
        <f>LOOKUP(D93,Reference!$B$33:$B$46,Reference!$C$33:$C$46)</f>
        <v>None</v>
      </c>
      <c r="F93" s="66" t="s">
        <v>508</v>
      </c>
      <c r="G93" s="66" t="str">
        <f>LOOKUP(F93,Reference!$D$32:$D$55,Reference!$E$32:$E$55)</f>
        <v>None</v>
      </c>
      <c r="H93" s="66" t="s">
        <v>361</v>
      </c>
      <c r="I93" s="57" t="str">
        <f>IF(OR(E93="V",G93="V"),"V",IF(AND(E93="None",G93="None"),"None",(IF(E93="None",0,E93)+IF(G93="None",0,G93)+IF(H93="Yes",CharacterSheet!$V$34,0))))</f>
        <v>None</v>
      </c>
      <c r="J93" s="57" t="s">
        <v>361</v>
      </c>
      <c r="K93" s="66">
        <f>IF(J93="no",0,IF(OR(F93="None",F93="Cheval",F93="Legend",F93="Mystery",F93="Prophecy",F93="TsukumoGami"),0,IF(F93="Varies","V",IF(AND(G93=0,CharacterSheet!$R$36="No"),0,IF(AND(G93=0,CharacterSheet!$R$36="Yes"),LOOKUP(D93,Reference!$N$2:$N$10,Reference!$O$2:$O$10),IF(G93&gt;0,LOOKUP(D93,Reference!$N$2:$N$10,Reference!$P$2:$P$10),"ERROR"))))))</f>
        <v>0</v>
      </c>
      <c r="L93" s="66" t="s">
        <v>361</v>
      </c>
      <c r="M93" s="66">
        <f>IF(E93="V","V",IF(J93="Yes",K93,0)+IF(L93="Yes",CharacterSheet!D121,0))</f>
        <v>0</v>
      </c>
      <c r="N93" s="66" t="s">
        <v>1638</v>
      </c>
      <c r="O93" s="66" t="s">
        <v>508</v>
      </c>
      <c r="P93" s="66" t="s">
        <v>1067</v>
      </c>
      <c r="Q93" s="188">
        <v>89</v>
      </c>
    </row>
    <row r="94" spans="1:17" x14ac:dyDescent="0.25">
      <c r="A94" s="86" t="s">
        <v>1145</v>
      </c>
      <c r="B94" s="39" t="s">
        <v>174</v>
      </c>
      <c r="C94" s="39">
        <v>2</v>
      </c>
      <c r="D94" s="66" t="s">
        <v>508</v>
      </c>
      <c r="E94" s="66" t="str">
        <f>LOOKUP(D94,Reference!$B$33:$B$46,Reference!$C$33:$C$46)</f>
        <v>None</v>
      </c>
      <c r="F94" s="66" t="s">
        <v>508</v>
      </c>
      <c r="G94" s="66" t="str">
        <f>LOOKUP(F94,Reference!$D$32:$D$55,Reference!$E$32:$E$55)</f>
        <v>None</v>
      </c>
      <c r="H94" s="66" t="s">
        <v>361</v>
      </c>
      <c r="I94" s="57" t="str">
        <f>IF(OR(E94="V",G94="V"),"V",IF(AND(E94="None",G94="None"),"None",(IF(E94="None",0,E94)+IF(G94="None",0,G94)+IF(H94="Yes",CharacterSheet!$V$34,0))))</f>
        <v>None</v>
      </c>
      <c r="J94" s="57" t="s">
        <v>361</v>
      </c>
      <c r="K94" s="66">
        <f>IF(J94="no",0,IF(OR(F94="None",F94="Cheval",F94="Legend",F94="Mystery",F94="Prophecy",F94="TsukumoGami"),0,IF(F94="Varies","V",IF(AND(G94=0,CharacterSheet!$R$36="No"),0,IF(AND(G94=0,CharacterSheet!$R$36="Yes"),LOOKUP(D94,Reference!$N$2:$N$10,Reference!$O$2:$O$10),IF(G94&gt;0,LOOKUP(D94,Reference!$N$2:$N$10,Reference!$P$2:$P$10),"ERROR"))))))</f>
        <v>0</v>
      </c>
      <c r="L94" s="66" t="s">
        <v>361</v>
      </c>
      <c r="M94" s="66">
        <f>IF(E94="V","V",IF(J94="Yes",K94,0)+IF(L94="Yes",CharacterSheet!D253,0))</f>
        <v>0</v>
      </c>
      <c r="N94" s="66" t="s">
        <v>1624</v>
      </c>
      <c r="O94" s="66" t="s">
        <v>508</v>
      </c>
      <c r="P94" s="66" t="s">
        <v>141</v>
      </c>
      <c r="Q94" s="188">
        <v>152</v>
      </c>
    </row>
    <row r="95" spans="1:17" x14ac:dyDescent="0.25">
      <c r="A95" s="86" t="s">
        <v>1210</v>
      </c>
      <c r="B95" s="39" t="s">
        <v>376</v>
      </c>
      <c r="C95" s="39">
        <v>4</v>
      </c>
      <c r="D95" s="66" t="s">
        <v>508</v>
      </c>
      <c r="E95" s="66" t="str">
        <f>LOOKUP(D95,Reference!$B$33:$B$46,Reference!$C$33:$C$46)</f>
        <v>None</v>
      </c>
      <c r="F95" s="66" t="s">
        <v>508</v>
      </c>
      <c r="G95" s="66" t="str">
        <f>LOOKUP(F95,Reference!$D$32:$D$55,Reference!$E$32:$E$55)</f>
        <v>None</v>
      </c>
      <c r="H95" s="66" t="s">
        <v>361</v>
      </c>
      <c r="I95" s="57" t="str">
        <f>IF(OR(E95="V",G95="V"),"V",IF(AND(E95="None",G95="None"),"None",(IF(E95="None",0,E95)+IF(G95="None",0,G95)+IF(H95="Yes",CharacterSheet!$V$34,0))))</f>
        <v>None</v>
      </c>
      <c r="J95" s="57" t="s">
        <v>361</v>
      </c>
      <c r="K95" s="66">
        <f>IF(J95="no",0,IF(OR(F95="None",F95="Cheval",F95="Legend",F95="Mystery",F95="Prophecy",F95="TsukumoGami"),0,IF(F95="Varies","V",IF(AND(G95=0,CharacterSheet!$R$36="No"),0,IF(AND(G95=0,CharacterSheet!$R$36="Yes"),LOOKUP(D95,Reference!$N$2:$N$10,Reference!$O$2:$O$10),IF(G95&gt;0,LOOKUP(D95,Reference!$N$2:$N$10,Reference!$P$2:$P$10),"ERROR"))))))</f>
        <v>0</v>
      </c>
      <c r="L95" s="66" t="s">
        <v>361</v>
      </c>
      <c r="M95" s="66">
        <f>IF(E95="V","V",IF(J95="Yes",K95,0)+IF(L95="Yes",CharacterSheet!D122,0))</f>
        <v>0</v>
      </c>
      <c r="N95" s="66" t="s">
        <v>1585</v>
      </c>
      <c r="O95" s="66" t="s">
        <v>508</v>
      </c>
      <c r="P95" s="66" t="s">
        <v>1067</v>
      </c>
      <c r="Q95" s="188">
        <v>84</v>
      </c>
    </row>
    <row r="96" spans="1:17" x14ac:dyDescent="0.25">
      <c r="A96" s="86" t="s">
        <v>1195</v>
      </c>
      <c r="B96" s="39" t="s">
        <v>373</v>
      </c>
      <c r="C96" s="39">
        <v>5</v>
      </c>
      <c r="D96" s="66" t="s">
        <v>508</v>
      </c>
      <c r="E96" s="66" t="str">
        <f>LOOKUP(D96,Reference!$B$33:$B$46,Reference!$C$33:$C$46)</f>
        <v>None</v>
      </c>
      <c r="F96" s="66" t="s">
        <v>508</v>
      </c>
      <c r="G96" s="66" t="str">
        <f>LOOKUP(F96,Reference!$D$32:$D$55,Reference!$E$32:$E$55)</f>
        <v>None</v>
      </c>
      <c r="H96" s="66" t="s">
        <v>361</v>
      </c>
      <c r="I96" s="57" t="str">
        <f>IF(OR(E96="V",G96="V"),"V",IF(AND(E96="None",G96="None"),"None",(IF(E96="None",0,E96)+IF(G96="None",0,G96)+IF(H96="Yes",CharacterSheet!$V$34,0))))</f>
        <v>None</v>
      </c>
      <c r="J96" s="57" t="s">
        <v>361</v>
      </c>
      <c r="K96" s="66">
        <f>IF(J96="no",0,IF(OR(F96="None",F96="Cheval",F96="Legend",F96="Mystery",F96="Prophecy",F96="TsukumoGami"),0,IF(F96="Varies","V",IF(AND(G96=0,CharacterSheet!$R$36="No"),0,IF(AND(G96=0,CharacterSheet!$R$36="Yes"),LOOKUP(D96,Reference!$N$2:$N$10,Reference!$O$2:$O$10),IF(G96&gt;0,LOOKUP(D96,Reference!$N$2:$N$10,Reference!$P$2:$P$10),"ERROR"))))))</f>
        <v>0</v>
      </c>
      <c r="L96" s="66" t="s">
        <v>361</v>
      </c>
      <c r="M96" s="66">
        <f>IF(E96="V","V",IF(J96="Yes",K96,0)+IF(L96="Yes",CharacterSheet!D166,0))</f>
        <v>0</v>
      </c>
      <c r="N96" s="66" t="s">
        <v>1077</v>
      </c>
      <c r="O96" s="66" t="s">
        <v>508</v>
      </c>
      <c r="P96" s="66" t="s">
        <v>1067</v>
      </c>
      <c r="Q96" s="188">
        <v>79</v>
      </c>
    </row>
    <row r="97" spans="1:17" x14ac:dyDescent="0.25">
      <c r="A97" s="86" t="s">
        <v>1339</v>
      </c>
      <c r="B97" s="39" t="s">
        <v>174</v>
      </c>
      <c r="C97" s="39">
        <v>9</v>
      </c>
      <c r="D97" s="66" t="s">
        <v>508</v>
      </c>
      <c r="E97" s="66" t="str">
        <f>LOOKUP(D97,Reference!$B$33:$B$46,Reference!$C$33:$C$46)</f>
        <v>None</v>
      </c>
      <c r="F97" s="66" t="s">
        <v>508</v>
      </c>
      <c r="G97" s="66" t="str">
        <f>LOOKUP(F97,Reference!$D$32:$D$55,Reference!$E$32:$E$55)</f>
        <v>None</v>
      </c>
      <c r="H97" s="66" t="s">
        <v>361</v>
      </c>
      <c r="I97" s="57" t="str">
        <f>IF(OR(E97="V",G97="V"),"V",IF(AND(E97="None",G97="None"),"None",(IF(E97="None",0,E97)+IF(G97="None",0,G97)+IF(H97="Yes",CharacterSheet!$V$34,0))))</f>
        <v>None</v>
      </c>
      <c r="J97" s="57" t="s">
        <v>361</v>
      </c>
      <c r="K97" s="66">
        <f>IF(J97="no",0,IF(OR(F97="None",F97="Cheval",F97="Legend",F97="Mystery",F97="Prophecy",F97="TsukumoGami"),0,IF(F97="Varies","V",IF(AND(G97=0,CharacterSheet!$R$36="No"),0,IF(AND(G97=0,CharacterSheet!$R$36="Yes"),LOOKUP(D97,Reference!$N$2:$N$10,Reference!$O$2:$O$10),IF(G97&gt;0,LOOKUP(D97,Reference!$N$2:$N$10,Reference!$P$2:$P$10),"ERROR"))))))</f>
        <v>0</v>
      </c>
      <c r="L97" s="66" t="s">
        <v>361</v>
      </c>
      <c r="M97" s="66">
        <f>IF(E97="V","V",IF(J97="Yes",K97,0)+IF(L97="Yes",CharacterSheet!D231,0))</f>
        <v>0</v>
      </c>
      <c r="N97" s="66" t="s">
        <v>508</v>
      </c>
      <c r="O97" s="66" t="s">
        <v>508</v>
      </c>
      <c r="P97" s="66" t="s">
        <v>5</v>
      </c>
      <c r="Q97" s="188">
        <v>107</v>
      </c>
    </row>
    <row r="98" spans="1:17" x14ac:dyDescent="0.25">
      <c r="A98" s="86" t="s">
        <v>1197</v>
      </c>
      <c r="B98" s="39" t="s">
        <v>373</v>
      </c>
      <c r="C98" s="39">
        <v>7</v>
      </c>
      <c r="D98" s="66" t="s">
        <v>508</v>
      </c>
      <c r="E98" s="66" t="str">
        <f>LOOKUP(D98,Reference!$B$33:$B$46,Reference!$C$33:$C$46)</f>
        <v>None</v>
      </c>
      <c r="F98" s="66" t="s">
        <v>508</v>
      </c>
      <c r="G98" s="66" t="str">
        <f>LOOKUP(F98,Reference!$D$32:$D$55,Reference!$E$32:$E$55)</f>
        <v>None</v>
      </c>
      <c r="H98" s="66" t="s">
        <v>361</v>
      </c>
      <c r="I98" s="57" t="str">
        <f>IF(OR(E98="V",G98="V"),"V",IF(AND(E98="None",G98="None"),"None",(IF(E98="None",0,E98)+IF(G98="None",0,G98)+IF(H98="Yes",CharacterSheet!$V$34,0))))</f>
        <v>None</v>
      </c>
      <c r="J98" s="57" t="s">
        <v>361</v>
      </c>
      <c r="K98" s="66">
        <f>IF(J98="no",0,IF(OR(F98="None",F98="Cheval",F98="Legend",F98="Mystery",F98="Prophecy",F98="TsukumoGami"),0,IF(F98="Varies","V",IF(AND(G98=0,CharacterSheet!$R$36="No"),0,IF(AND(G98=0,CharacterSheet!$R$36="Yes"),LOOKUP(D98,Reference!$N$2:$N$10,Reference!$O$2:$O$10),IF(G98&gt;0,LOOKUP(D98,Reference!$N$2:$N$10,Reference!$P$2:$P$10),"ERROR"))))))</f>
        <v>0</v>
      </c>
      <c r="L98" s="66" t="s">
        <v>361</v>
      </c>
      <c r="M98" s="66">
        <f>IF(E98="V","V",IF(J98="Yes",K98,0)+IF(L98="Yes",CharacterSheet!D151,0))</f>
        <v>0</v>
      </c>
      <c r="N98" s="66" t="s">
        <v>1635</v>
      </c>
      <c r="O98" s="66" t="s">
        <v>508</v>
      </c>
      <c r="P98" s="66" t="s">
        <v>1067</v>
      </c>
      <c r="Q98" s="188">
        <v>79</v>
      </c>
    </row>
    <row r="99" spans="1:17" x14ac:dyDescent="0.25">
      <c r="A99" s="86" t="s">
        <v>1196</v>
      </c>
      <c r="B99" s="39" t="s">
        <v>373</v>
      </c>
      <c r="C99" s="39">
        <v>6</v>
      </c>
      <c r="D99" s="66" t="s">
        <v>508</v>
      </c>
      <c r="E99" s="66" t="str">
        <f>LOOKUP(D99,Reference!$B$33:$B$46,Reference!$C$33:$C$46)</f>
        <v>None</v>
      </c>
      <c r="F99" s="66" t="s">
        <v>508</v>
      </c>
      <c r="G99" s="66" t="str">
        <f>LOOKUP(F99,Reference!$D$32:$D$55,Reference!$E$32:$E$55)</f>
        <v>None</v>
      </c>
      <c r="H99" s="66" t="s">
        <v>361</v>
      </c>
      <c r="I99" s="57" t="str">
        <f>IF(OR(E99="V",G99="V"),"V",IF(AND(E99="None",G99="None"),"None",(IF(E99="None",0,E99)+IF(G99="None",0,G99)+IF(H99="Yes",CharacterSheet!$V$34,0))))</f>
        <v>None</v>
      </c>
      <c r="J99" s="57" t="s">
        <v>361</v>
      </c>
      <c r="K99" s="66">
        <f>IF(J99="no",0,IF(OR(F99="None",F99="Cheval",F99="Legend",F99="Mystery",F99="Prophecy",F99="TsukumoGami"),0,IF(F99="Varies","V",IF(AND(G99=0,CharacterSheet!$R$36="No"),0,IF(AND(G99=0,CharacterSheet!$R$36="Yes"),LOOKUP(D99,Reference!$N$2:$N$10,Reference!$O$2:$O$10),IF(G99&gt;0,LOOKUP(D99,Reference!$N$2:$N$10,Reference!$P$2:$P$10),"ERROR"))))))</f>
        <v>0</v>
      </c>
      <c r="L99" s="66" t="s">
        <v>361</v>
      </c>
      <c r="M99" s="66">
        <f>IF(E99="V","V",IF(J99="Yes",K99,0)+IF(L99="Yes",CharacterSheet!D199,0))</f>
        <v>0</v>
      </c>
      <c r="N99" s="66" t="s">
        <v>1630</v>
      </c>
      <c r="O99" s="66" t="s">
        <v>508</v>
      </c>
      <c r="P99" s="66" t="s">
        <v>1067</v>
      </c>
      <c r="Q99" s="188">
        <v>79</v>
      </c>
    </row>
    <row r="100" spans="1:17" x14ac:dyDescent="0.25">
      <c r="A100" s="86" t="s">
        <v>1395</v>
      </c>
      <c r="B100" s="39" t="s">
        <v>1366</v>
      </c>
      <c r="C100" s="39">
        <v>4</v>
      </c>
      <c r="D100" s="66" t="s">
        <v>508</v>
      </c>
      <c r="E100" s="66" t="str">
        <f>LOOKUP(D100,Reference!$B$33:$B$46,Reference!$C$33:$C$46)</f>
        <v>None</v>
      </c>
      <c r="F100" s="66" t="s">
        <v>508</v>
      </c>
      <c r="G100" s="66" t="str">
        <f>LOOKUP(F100,Reference!$D$32:$D$55,Reference!$E$32:$E$55)</f>
        <v>None</v>
      </c>
      <c r="H100" s="66" t="s">
        <v>361</v>
      </c>
      <c r="I100" s="57" t="str">
        <f>IF(OR(E100="V",G100="V"),"V",IF(AND(E100="None",G100="None"),"None",(IF(E100="None",0,E100)+IF(G100="None",0,G100)+IF(H100="Yes",CharacterSheet!$V$34,0))))</f>
        <v>None</v>
      </c>
      <c r="J100" s="57" t="s">
        <v>361</v>
      </c>
      <c r="K100" s="66">
        <f>IF(J100="no",0,IF(OR(F100="None",F100="Cheval",F100="Legend",F100="Mystery",F100="Prophecy",F100="TsukumoGami"),0,IF(F100="Varies","V",IF(AND(G100=0,CharacterSheet!$R$36="No"),0,IF(AND(G100=0,CharacterSheet!$R$36="Yes"),LOOKUP(D100,Reference!$N$2:$N$10,Reference!$O$2:$O$10),IF(G100&gt;0,LOOKUP(D100,Reference!$N$2:$N$10,Reference!$P$2:$P$10),"ERROR"))))))</f>
        <v>0</v>
      </c>
      <c r="L100" s="66" t="s">
        <v>361</v>
      </c>
      <c r="M100" s="66">
        <f>IF(E100="V","V",IF(J100="Yes",K100,0)+IF(L100="Yes",CharacterSheet!D398,0))</f>
        <v>0</v>
      </c>
      <c r="N100" s="66" t="s">
        <v>1072</v>
      </c>
      <c r="O100" s="66" t="s">
        <v>508</v>
      </c>
      <c r="P100" s="66" t="s">
        <v>1068</v>
      </c>
      <c r="Q100" s="188">
        <v>69</v>
      </c>
    </row>
    <row r="101" spans="1:17" x14ac:dyDescent="0.25">
      <c r="A101" s="86" t="s">
        <v>1199</v>
      </c>
      <c r="B101" s="39" t="s">
        <v>115</v>
      </c>
      <c r="C101" s="39">
        <v>5</v>
      </c>
      <c r="D101" s="66" t="s">
        <v>14</v>
      </c>
      <c r="E101" s="66">
        <f>LOOKUP(D101,Reference!$B$33:$B$46,Reference!$C$33:$C$46)</f>
        <v>1</v>
      </c>
      <c r="F101" s="66" t="s">
        <v>47</v>
      </c>
      <c r="G101" s="66">
        <f>LOOKUP(F101,Reference!$D$32:$D$55,Reference!$E$32:$E$55)</f>
        <v>0</v>
      </c>
      <c r="H101" s="66" t="s">
        <v>361</v>
      </c>
      <c r="I101" s="57">
        <f>IF(OR(E101="V",G101="V"),"V",IF(AND(E101="None",G101="None"),"None",(IF(E101="None",0,E101)+IF(G101="None",0,G101)+IF(H101="Yes",CharacterSheet!$V$34,0))))</f>
        <v>1</v>
      </c>
      <c r="J101" s="57" t="s">
        <v>360</v>
      </c>
      <c r="K101" s="66">
        <f>IF(J101="no",0,IF(OR(F101="None",F101="Cheval",F101="Legend",F101="Mystery",F101="Prophecy",F101="TsukumoGami"),0,IF(F101="Varies","V",IF(AND(G101=0,CharacterSheet!$R$36="No"),0,IF(AND(G101=0,CharacterSheet!$R$36="Yes"),LOOKUP(D101,Reference!$N$2:$N$10,Reference!$O$2:$O$10),IF(G101&gt;0,LOOKUP(D101,Reference!$N$2:$N$10,Reference!$P$2:$P$10),"ERROR"))))))</f>
        <v>0</v>
      </c>
      <c r="L101" s="66" t="s">
        <v>361</v>
      </c>
      <c r="M101" s="66">
        <f>IF(E101="V","V",IF(J101="Yes",K101,0)+IF(L101="Yes",CharacterSheet!D152,0))</f>
        <v>0</v>
      </c>
      <c r="N101" s="66" t="s">
        <v>1086</v>
      </c>
      <c r="O101" s="66" t="s">
        <v>1554</v>
      </c>
      <c r="P101" s="66" t="s">
        <v>1067</v>
      </c>
      <c r="Q101" s="188">
        <v>80</v>
      </c>
    </row>
    <row r="102" spans="1:17" x14ac:dyDescent="0.25">
      <c r="A102" s="86" t="s">
        <v>1290</v>
      </c>
      <c r="B102" s="39" t="s">
        <v>372</v>
      </c>
      <c r="C102" s="39">
        <v>8</v>
      </c>
      <c r="D102" s="66" t="s">
        <v>21</v>
      </c>
      <c r="E102" s="66">
        <f>LOOKUP(D102,Reference!$B$33:$B$46,Reference!$C$33:$C$46)</f>
        <v>1</v>
      </c>
      <c r="F102" s="66" t="s">
        <v>56</v>
      </c>
      <c r="G102" s="66">
        <f>LOOKUP(F102,Reference!$D$32:$D$55,Reference!$E$32:$E$55)</f>
        <v>0</v>
      </c>
      <c r="H102" s="66" t="s">
        <v>361</v>
      </c>
      <c r="I102" s="57">
        <f>IF(OR(E102="V",G102="V"),"V",IF(AND(E102="None",G102="None"),"None",(IF(E102="None",0,E102)+IF(G102="None",0,G102)+IF(H102="Yes",CharacterSheet!$V$34,0))))</f>
        <v>1</v>
      </c>
      <c r="J102" s="57" t="s">
        <v>360</v>
      </c>
      <c r="K102" s="66">
        <f>IF(J102="no",0,IF(OR(F102="None",F102="Cheval",F102="Legend",F102="Mystery",F102="Prophecy",F102="TsukumoGami"),0,IF(F102="Varies","V",IF(AND(G102=0,CharacterSheet!$R$36="No"),0,IF(AND(G102=0,CharacterSheet!$R$36="Yes"),LOOKUP(D102,Reference!$N$2:$N$10,Reference!$O$2:$O$10),IF(G102&gt;0,LOOKUP(D102,Reference!$N$2:$N$10,Reference!$P$2:$P$10),"ERROR"))))))</f>
        <v>0</v>
      </c>
      <c r="L102" s="66" t="s">
        <v>361</v>
      </c>
      <c r="M102" s="66">
        <f>IF(E102="V","V",IF(J102="Yes",K102,0)+IF(L102="Yes",CharacterSheet!D220,0))</f>
        <v>0</v>
      </c>
      <c r="N102" s="66" t="s">
        <v>1648</v>
      </c>
      <c r="O102" s="66" t="s">
        <v>1614</v>
      </c>
      <c r="P102" s="66" t="s">
        <v>5</v>
      </c>
      <c r="Q102" s="188">
        <v>89</v>
      </c>
    </row>
    <row r="103" spans="1:17" x14ac:dyDescent="0.25">
      <c r="A103" s="86" t="s">
        <v>1198</v>
      </c>
      <c r="B103" s="39" t="s">
        <v>115</v>
      </c>
      <c r="C103" s="39">
        <v>4</v>
      </c>
      <c r="D103" s="66" t="s">
        <v>17</v>
      </c>
      <c r="E103" s="66">
        <f>LOOKUP(D103,Reference!$B$33:$B$46,Reference!$C$33:$C$46)</f>
        <v>1</v>
      </c>
      <c r="F103" s="66" t="s">
        <v>47</v>
      </c>
      <c r="G103" s="66">
        <f>LOOKUP(F103,Reference!$D$32:$D$55,Reference!$E$32:$E$55)</f>
        <v>0</v>
      </c>
      <c r="H103" s="66" t="s">
        <v>361</v>
      </c>
      <c r="I103" s="57">
        <f>IF(OR(E103="V",G103="V"),"V",IF(AND(E103="None",G103="None"),"None",(IF(E103="None",0,E103)+IF(G103="None",0,G103)+IF(H103="Yes",CharacterSheet!$V$34,0))))</f>
        <v>1</v>
      </c>
      <c r="J103" s="57" t="s">
        <v>360</v>
      </c>
      <c r="K103" s="66">
        <f>IF(J103="no",0,IF(OR(F103="None",F103="Cheval",F103="Legend",F103="Mystery",F103="Prophecy",F103="TsukumoGami"),0,IF(F103="Varies","V",IF(AND(G103=0,CharacterSheet!$R$36="No"),0,IF(AND(G103=0,CharacterSheet!$R$36="Yes"),LOOKUP(D103,Reference!$N$2:$N$10,Reference!$O$2:$O$10),IF(G103&gt;0,LOOKUP(D103,Reference!$N$2:$N$10,Reference!$P$2:$P$10),"ERROR"))))))</f>
        <v>0</v>
      </c>
      <c r="L103" s="66" t="s">
        <v>361</v>
      </c>
      <c r="M103" s="66">
        <f>IF(E103="V","V",IF(J103="Yes",K103,0)+IF(L103="Yes",CharacterSheet!D154,0))</f>
        <v>0</v>
      </c>
      <c r="N103" s="66" t="s">
        <v>1636</v>
      </c>
      <c r="O103" s="66" t="s">
        <v>1607</v>
      </c>
      <c r="P103" s="66" t="s">
        <v>1067</v>
      </c>
      <c r="Q103" s="188">
        <v>80</v>
      </c>
    </row>
    <row r="104" spans="1:17" x14ac:dyDescent="0.25">
      <c r="A104" s="86" t="s">
        <v>1172</v>
      </c>
      <c r="B104" s="39" t="s">
        <v>367</v>
      </c>
      <c r="C104" s="39">
        <v>6</v>
      </c>
      <c r="D104" s="66" t="s">
        <v>21</v>
      </c>
      <c r="E104" s="66">
        <f>LOOKUP(D104,Reference!$B$33:$B$46,Reference!$C$33:$C$46)</f>
        <v>1</v>
      </c>
      <c r="F104" s="66" t="s">
        <v>41</v>
      </c>
      <c r="G104" s="66">
        <f>LOOKUP(F104,Reference!$D$32:$D$55,Reference!$E$32:$E$55)</f>
        <v>0</v>
      </c>
      <c r="H104" s="66" t="s">
        <v>361</v>
      </c>
      <c r="I104" s="57">
        <f>IF(OR(E104="V",G104="V"),"V",IF(AND(E104="None",G104="None"),"None",(IF(E104="None",0,E104)+IF(G104="None",0,G104)+IF(H104="Yes",CharacterSheet!$V$34,0))))</f>
        <v>1</v>
      </c>
      <c r="J104" s="57" t="s">
        <v>360</v>
      </c>
      <c r="K104" s="66">
        <f>IF(J104="no",0,IF(OR(F104="None",F104="Cheval",F104="Legend",F104="Mystery",F104="Prophecy",F104="TsukumoGami"),0,IF(F104="Varies","V",IF(AND(G104=0,CharacterSheet!$R$36="No"),0,IF(AND(G104=0,CharacterSheet!$R$36="Yes"),LOOKUP(D104,Reference!$N$2:$N$10,Reference!$O$2:$O$10),IF(G104&gt;0,LOOKUP(D104,Reference!$N$2:$N$10,Reference!$P$2:$P$10),"ERROR"))))))</f>
        <v>0</v>
      </c>
      <c r="L104" s="66" t="s">
        <v>361</v>
      </c>
      <c r="M104" s="66">
        <f>IF(E104="V","V",IF(J104="Yes",K104,0)+IF(L104="Yes",CharacterSheet!D302,0))</f>
        <v>0</v>
      </c>
      <c r="N104" s="66" t="s">
        <v>1630</v>
      </c>
      <c r="O104" s="66" t="s">
        <v>1545</v>
      </c>
      <c r="P104" s="66" t="s">
        <v>1067</v>
      </c>
      <c r="Q104" s="188">
        <v>71</v>
      </c>
    </row>
    <row r="105" spans="1:17" x14ac:dyDescent="0.25">
      <c r="A105" s="86" t="s">
        <v>1313</v>
      </c>
      <c r="B105" s="39" t="s">
        <v>377</v>
      </c>
      <c r="C105" s="39">
        <v>8</v>
      </c>
      <c r="D105" s="66" t="s">
        <v>30</v>
      </c>
      <c r="E105" s="66">
        <f>LOOKUP(D105,Reference!$B$33:$B$46,Reference!$C$33:$C$46)</f>
        <v>1</v>
      </c>
      <c r="F105" s="66" t="s">
        <v>42</v>
      </c>
      <c r="G105" s="66">
        <f>LOOKUP(F105,Reference!$D$32:$D$55,Reference!$E$32:$E$55)</f>
        <v>0</v>
      </c>
      <c r="H105" s="66" t="s">
        <v>361</v>
      </c>
      <c r="I105" s="57">
        <f>IF(OR(E105="V",G105="V"),"V",IF(AND(E105="None",G105="None"),"None",(IF(E105="None",0,E105)+IF(G105="None",0,G105)+IF(H105="Yes",CharacterSheet!$V$34,0))))</f>
        <v>1</v>
      </c>
      <c r="J105" s="57" t="s">
        <v>360</v>
      </c>
      <c r="K105" s="66">
        <f>IF(J105="no",0,IF(OR(F105="None",F105="Cheval",F105="Legend",F105="Mystery",F105="Prophecy",F105="TsukumoGami"),0,IF(F105="Varies","V",IF(AND(G105=0,CharacterSheet!$R$36="No"),0,IF(AND(G105=0,CharacterSheet!$R$36="Yes"),LOOKUP(D105,Reference!$N$2:$N$10,Reference!$O$2:$O$10),IF(G105&gt;0,LOOKUP(D105,Reference!$N$2:$N$10,Reference!$P$2:$P$10),"ERROR"))))))</f>
        <v>0</v>
      </c>
      <c r="L105" s="66" t="s">
        <v>361</v>
      </c>
      <c r="M105" s="66">
        <f>IF(E105="V","V",IF(J105="Yes",K105,0)+IF(L105="Yes",CharacterSheet!D75,0))</f>
        <v>0</v>
      </c>
      <c r="N105" s="66" t="s">
        <v>1074</v>
      </c>
      <c r="O105" s="66" t="s">
        <v>1684</v>
      </c>
      <c r="P105" s="66" t="s">
        <v>5</v>
      </c>
      <c r="Q105" s="188">
        <v>98</v>
      </c>
    </row>
    <row r="106" spans="1:17" x14ac:dyDescent="0.25">
      <c r="A106" s="86" t="s">
        <v>1169</v>
      </c>
      <c r="B106" s="39" t="s">
        <v>366</v>
      </c>
      <c r="C106" s="39">
        <v>7</v>
      </c>
      <c r="D106" s="66" t="s">
        <v>508</v>
      </c>
      <c r="E106" s="66" t="str">
        <f>LOOKUP(D106,Reference!$B$33:$B$46,Reference!$C$33:$C$46)</f>
        <v>None</v>
      </c>
      <c r="F106" s="66" t="s">
        <v>508</v>
      </c>
      <c r="G106" s="66" t="str">
        <f>LOOKUP(F106,Reference!$D$32:$D$55,Reference!$E$32:$E$55)</f>
        <v>None</v>
      </c>
      <c r="H106" s="66" t="s">
        <v>361</v>
      </c>
      <c r="I106" s="57" t="str">
        <f>IF(OR(E106="V",G106="V"),"V",IF(AND(E106="None",G106="None"),"None",(IF(E106="None",0,E106)+IF(G106="None",0,G106)+IF(H106="Yes",CharacterSheet!$V$34,0))))</f>
        <v>None</v>
      </c>
      <c r="J106" s="57" t="s">
        <v>361</v>
      </c>
      <c r="K106" s="66">
        <f>IF(J106="no",0,IF(OR(F106="None",F106="Cheval",F106="Legend",F106="Mystery",F106="Prophecy",F106="TsukumoGami"),0,IF(F106="Varies","V",IF(AND(G106=0,CharacterSheet!$R$36="No"),0,IF(AND(G106=0,CharacterSheet!$R$36="Yes"),LOOKUP(D106,Reference!$N$2:$N$10,Reference!$O$2:$O$10),IF(G106&gt;0,LOOKUP(D106,Reference!$N$2:$N$10,Reference!$P$2:$P$10),"ERROR"))))))</f>
        <v>0</v>
      </c>
      <c r="L106" s="66" t="s">
        <v>361</v>
      </c>
      <c r="M106" s="66">
        <f>IF(E106="V","V",IF(J106="Yes",K106,0)+IF(L106="Yes",CharacterSheet!D234,0))</f>
        <v>0</v>
      </c>
      <c r="N106" s="66" t="s">
        <v>1761</v>
      </c>
      <c r="O106" s="66" t="s">
        <v>508</v>
      </c>
      <c r="P106" s="66" t="s">
        <v>1067</v>
      </c>
      <c r="Q106" s="188">
        <v>70</v>
      </c>
    </row>
    <row r="107" spans="1:17" x14ac:dyDescent="0.25">
      <c r="A107" s="86" t="s">
        <v>1226</v>
      </c>
      <c r="B107" s="39" t="s">
        <v>381</v>
      </c>
      <c r="C107" s="39">
        <v>4</v>
      </c>
      <c r="D107" s="66" t="s">
        <v>14</v>
      </c>
      <c r="E107" s="66">
        <f>LOOKUP(D107,Reference!$B$33:$B$46,Reference!$C$33:$C$46)</f>
        <v>1</v>
      </c>
      <c r="F107" s="66" t="s">
        <v>57</v>
      </c>
      <c r="G107" s="66">
        <f>LOOKUP(F107,Reference!$D$32:$D$55,Reference!$E$32:$E$55)</f>
        <v>0</v>
      </c>
      <c r="H107" s="66" t="s">
        <v>361</v>
      </c>
      <c r="I107" s="57">
        <f>IF(OR(E107="V",G107="V"),"V",IF(AND(E107="None",G107="None"),"None",(IF(E107="None",0,E107)+IF(G107="None",0,G107)+IF(H107="Yes",CharacterSheet!$V$34,0))))</f>
        <v>1</v>
      </c>
      <c r="J107" s="57" t="s">
        <v>360</v>
      </c>
      <c r="K107" s="66">
        <f>IF(J107="no",0,IF(OR(F107="None",F107="Cheval",F107="Legend",F107="Mystery",F107="Prophecy",F107="TsukumoGami"),0,IF(F107="Varies","V",IF(AND(G107=0,CharacterSheet!$R$36="No"),0,IF(AND(G107=0,CharacterSheet!$R$36="Yes"),LOOKUP(D107,Reference!$N$2:$N$10,Reference!$O$2:$O$10),IF(G107&gt;0,LOOKUP(D107,Reference!$N$2:$N$10,Reference!$P$2:$P$10),"ERROR"))))))</f>
        <v>0</v>
      </c>
      <c r="L107" s="66" t="s">
        <v>361</v>
      </c>
      <c r="M107" s="66">
        <f>IF(E107="V","V",IF(J107="Yes",K107,0)+IF(L107="Yes",CharacterSheet!D381,0))</f>
        <v>0</v>
      </c>
      <c r="N107" s="66" t="s">
        <v>1592</v>
      </c>
      <c r="O107" s="66" t="s">
        <v>1616</v>
      </c>
      <c r="P107" s="66" t="s">
        <v>1067</v>
      </c>
      <c r="Q107" s="188">
        <v>90</v>
      </c>
    </row>
    <row r="108" spans="1:17" x14ac:dyDescent="0.25">
      <c r="A108" s="86" t="s">
        <v>1409</v>
      </c>
      <c r="B108" s="39" t="s">
        <v>369</v>
      </c>
      <c r="C108" s="39">
        <v>10</v>
      </c>
      <c r="D108" s="66" t="s">
        <v>30</v>
      </c>
      <c r="E108" s="66">
        <f>LOOKUP(D108,Reference!$B$33:$B$46,Reference!$C$33:$C$46)</f>
        <v>1</v>
      </c>
      <c r="F108" s="66" t="s">
        <v>49</v>
      </c>
      <c r="G108" s="66">
        <f>LOOKUP(F108,Reference!$D$32:$D$55,Reference!$E$32:$E$55)</f>
        <v>0</v>
      </c>
      <c r="H108" s="66" t="s">
        <v>361</v>
      </c>
      <c r="I108" s="57">
        <f>IF(OR(E108="V",G108="V"),"V",IF(AND(E108="None",G108="None"),"None",(IF(E108="None",0,E108)+IF(G108="None",0,G108)+IF(H108="Yes",CharacterSheet!$V$34,0))))</f>
        <v>1</v>
      </c>
      <c r="J108" s="57" t="s">
        <v>360</v>
      </c>
      <c r="K108" s="66">
        <f>IF(J108="no",0,IF(OR(F108="None",F108="Cheval",F108="Legend",F108="Mystery",F108="Prophecy",F108="TsukumoGami"),0,IF(F108="Varies","V",IF(AND(G108=0,CharacterSheet!$R$36="No"),0,IF(AND(G108=0,CharacterSheet!$R$36="Yes"),LOOKUP(D108,Reference!$N$2:$N$10,Reference!$O$2:$O$10),IF(G108&gt;0,LOOKUP(D108,Reference!$N$2:$N$10,Reference!$P$2:$P$10),"ERROR"))))))</f>
        <v>0</v>
      </c>
      <c r="L108" s="66" t="s">
        <v>361</v>
      </c>
      <c r="M108" s="66">
        <f>IF(E108="V","V",IF(J108="Yes",K108,0)+IF(L108="Yes",CharacterSheet!D134,0))</f>
        <v>0</v>
      </c>
      <c r="N108" s="66" t="s">
        <v>1708</v>
      </c>
      <c r="O108" s="66" t="s">
        <v>1709</v>
      </c>
      <c r="P108" s="66" t="s">
        <v>1068</v>
      </c>
      <c r="Q108" s="188">
        <v>72</v>
      </c>
    </row>
    <row r="109" spans="1:17" x14ac:dyDescent="0.25">
      <c r="A109" s="86" t="s">
        <v>1096</v>
      </c>
      <c r="B109" s="39" t="s">
        <v>369</v>
      </c>
      <c r="C109" s="39">
        <v>1</v>
      </c>
      <c r="D109" s="66" t="s">
        <v>508</v>
      </c>
      <c r="E109" s="66" t="str">
        <f>LOOKUP(D109,Reference!$B$33:$B$46,Reference!$C$33:$C$46)</f>
        <v>None</v>
      </c>
      <c r="F109" s="66" t="s">
        <v>508</v>
      </c>
      <c r="G109" s="66" t="str">
        <f>LOOKUP(F109,Reference!$D$32:$D$55,Reference!$E$32:$E$55)</f>
        <v>None</v>
      </c>
      <c r="H109" s="66" t="s">
        <v>361</v>
      </c>
      <c r="I109" s="57" t="str">
        <f>IF(OR(E109="V",G109="V"),"V",IF(AND(E109="None",G109="None"),"None",(IF(E109="None",0,E109)+IF(G109="None",0,G109)+IF(H109="Yes",CharacterSheet!$V$34,0))))</f>
        <v>None</v>
      </c>
      <c r="J109" s="57" t="s">
        <v>361</v>
      </c>
      <c r="K109" s="66">
        <f>IF(J109="no",0,IF(OR(F109="None",F109="Cheval",F109="Legend",F109="Mystery",F109="Prophecy",F109="TsukumoGami"),0,IF(F109="Varies","V",IF(AND(G109=0,CharacterSheet!$R$36="No"),0,IF(AND(G109=0,CharacterSheet!$R$36="Yes"),LOOKUP(D109,Reference!$N$2:$N$10,Reference!$O$2:$O$10),IF(G109&gt;0,LOOKUP(D109,Reference!$N$2:$N$10,Reference!$P$2:$P$10),"ERROR"))))))</f>
        <v>0</v>
      </c>
      <c r="L109" s="66" t="s">
        <v>361</v>
      </c>
      <c r="M109" s="66">
        <f>IF(E109="V","V",IF(J109="Yes",K109,0)+IF(L109="Yes",CharacterSheet!D404,0))</f>
        <v>0</v>
      </c>
      <c r="N109" s="66" t="s">
        <v>1799</v>
      </c>
      <c r="O109" s="66" t="s">
        <v>1799</v>
      </c>
      <c r="P109" s="66" t="s">
        <v>141</v>
      </c>
      <c r="Q109" s="188">
        <v>141</v>
      </c>
    </row>
    <row r="110" spans="1:17" x14ac:dyDescent="0.25">
      <c r="A110" s="86" t="s">
        <v>1400</v>
      </c>
      <c r="B110" s="39" t="s">
        <v>1366</v>
      </c>
      <c r="C110" s="39">
        <v>9</v>
      </c>
      <c r="D110" s="66" t="s">
        <v>21</v>
      </c>
      <c r="E110" s="66">
        <f>LOOKUP(D110,Reference!$B$33:$B$46,Reference!$C$33:$C$46)</f>
        <v>1</v>
      </c>
      <c r="F110" s="66" t="s">
        <v>52</v>
      </c>
      <c r="G110" s="66">
        <f>LOOKUP(F110,Reference!$D$32:$D$55,Reference!$E$32:$E$55)</f>
        <v>0</v>
      </c>
      <c r="H110" s="66" t="s">
        <v>361</v>
      </c>
      <c r="I110" s="57">
        <f>IF(OR(E110="V",G110="V"),"V",IF(AND(E110="None",G110="None"),"None",(IF(E110="None",0,E110)+IF(G110="None",0,G110)+IF(H110="Yes",CharacterSheet!$V$34,0))))</f>
        <v>1</v>
      </c>
      <c r="J110" s="57" t="s">
        <v>360</v>
      </c>
      <c r="K110" s="66">
        <f>IF(J110="no",0,IF(OR(F110="None",F110="Cheval",F110="Legend",F110="Mystery",F110="Prophecy",F110="TsukumoGami"),0,IF(F110="Varies","V",IF(AND(G110=0,CharacterSheet!$R$36="No"),0,IF(AND(G110=0,CharacterSheet!$R$36="Yes"),LOOKUP(D110,Reference!$N$2:$N$10,Reference!$O$2:$O$10),IF(G110&gt;0,LOOKUP(D110,Reference!$N$2:$N$10,Reference!$P$2:$P$10),"ERROR"))))))</f>
        <v>0</v>
      </c>
      <c r="L110" s="66" t="s">
        <v>361</v>
      </c>
      <c r="M110" s="66">
        <f>IF(E110="V","V",IF(J110="Yes",K110,0)+IF(L110="Yes",CharacterSheet!D158,0))</f>
        <v>0</v>
      </c>
      <c r="N110" s="66" t="s">
        <v>1704</v>
      </c>
      <c r="O110" s="66" t="s">
        <v>1705</v>
      </c>
      <c r="P110" s="66" t="s">
        <v>1068</v>
      </c>
      <c r="Q110" s="188">
        <v>70</v>
      </c>
    </row>
    <row r="111" spans="1:17" x14ac:dyDescent="0.25">
      <c r="A111" s="86" t="s">
        <v>1408</v>
      </c>
      <c r="B111" s="39" t="s">
        <v>369</v>
      </c>
      <c r="C111" s="39">
        <v>1</v>
      </c>
      <c r="D111" s="66" t="s">
        <v>20</v>
      </c>
      <c r="E111" s="66">
        <f>LOOKUP(D111,Reference!$B$33:$B$46,Reference!$C$33:$C$46)</f>
        <v>1</v>
      </c>
      <c r="F111" s="66" t="s">
        <v>47</v>
      </c>
      <c r="G111" s="66">
        <f>LOOKUP(F111,Reference!$D$32:$D$55,Reference!$E$32:$E$55)</f>
        <v>0</v>
      </c>
      <c r="H111" s="66" t="s">
        <v>361</v>
      </c>
      <c r="I111" s="57">
        <f>IF(OR(E111="V",G111="V"),"V",IF(AND(E111="None",G111="None"),"None",(IF(E111="None",0,E111)+IF(G111="None",0,G111)+IF(H111="Yes",CharacterSheet!$V$34,0))))</f>
        <v>1</v>
      </c>
      <c r="J111" s="57" t="s">
        <v>360</v>
      </c>
      <c r="K111" s="66">
        <f>IF(J111="no",0,IF(OR(F111="None",F111="Cheval",F111="Legend",F111="Mystery",F111="Prophecy",F111="TsukumoGami"),0,IF(F111="Varies","V",IF(AND(G111=0,CharacterSheet!$R$36="No"),0,IF(AND(G111=0,CharacterSheet!$R$36="Yes"),LOOKUP(D111,Reference!$N$2:$N$10,Reference!$O$2:$O$10),IF(G111&gt;0,LOOKUP(D111,Reference!$N$2:$N$10,Reference!$P$2:$P$10),"ERROR"))))))</f>
        <v>0</v>
      </c>
      <c r="L111" s="66" t="s">
        <v>361</v>
      </c>
      <c r="M111" s="66">
        <f>IF(E111="V","V",IF(J111="Yes",K111,0)+IF(L111="Yes",CharacterSheet!D351,0))</f>
        <v>0</v>
      </c>
      <c r="N111" s="66" t="s">
        <v>1072</v>
      </c>
      <c r="O111" s="66" t="s">
        <v>1608</v>
      </c>
      <c r="P111" s="66" t="s">
        <v>1068</v>
      </c>
      <c r="Q111" s="188">
        <v>72</v>
      </c>
    </row>
    <row r="112" spans="1:17" x14ac:dyDescent="0.25">
      <c r="A112" s="86" t="s">
        <v>1159</v>
      </c>
      <c r="B112" s="39" t="s">
        <v>385</v>
      </c>
      <c r="C112" s="39">
        <v>3</v>
      </c>
      <c r="D112" s="66" t="s">
        <v>17</v>
      </c>
      <c r="E112" s="66">
        <f>LOOKUP(D112,Reference!$B$33:$B$46,Reference!$C$33:$C$46)</f>
        <v>1</v>
      </c>
      <c r="F112" s="66" t="s">
        <v>51</v>
      </c>
      <c r="G112" s="66">
        <f>LOOKUP(F112,Reference!$D$32:$D$55,Reference!$E$32:$E$55)</f>
        <v>0</v>
      </c>
      <c r="H112" s="66" t="s">
        <v>361</v>
      </c>
      <c r="I112" s="57">
        <f>IF(OR(E112="V",G112="V"),"V",IF(AND(E112="None",G112="None"),"None",(IF(E112="None",0,E112)+IF(G112="None",0,G112)+IF(H112="Yes",CharacterSheet!$V$34,0))))</f>
        <v>1</v>
      </c>
      <c r="J112" s="57" t="s">
        <v>360</v>
      </c>
      <c r="K112" s="66">
        <f>IF(J112="no",0,IF(OR(F112="None",F112="Cheval",F112="Legend",F112="Mystery",F112="Prophecy",F112="TsukumoGami"),0,IF(F112="Varies","V",IF(AND(G112=0,CharacterSheet!$R$36="No"),0,IF(AND(G112=0,CharacterSheet!$R$36="Yes"),LOOKUP(D112,Reference!$N$2:$N$10,Reference!$O$2:$O$10),IF(G112&gt;0,LOOKUP(D112,Reference!$N$2:$N$10,Reference!$P$2:$P$10),"ERROR"))))))</f>
        <v>0</v>
      </c>
      <c r="L112" s="66" t="s">
        <v>361</v>
      </c>
      <c r="M112" s="66">
        <f>IF(E112="V","V",IF(J112="Yes",K112,0)+IF(L112="Yes",CharacterSheet!D269,0))</f>
        <v>0</v>
      </c>
      <c r="N112" s="66" t="s">
        <v>1568</v>
      </c>
      <c r="O112" s="66" t="s">
        <v>1576</v>
      </c>
      <c r="P112" s="66" t="s">
        <v>141</v>
      </c>
      <c r="Q112" s="188">
        <v>155</v>
      </c>
    </row>
    <row r="113" spans="1:17" x14ac:dyDescent="0.25">
      <c r="A113" s="86" t="s">
        <v>1227</v>
      </c>
      <c r="B113" s="39" t="s">
        <v>381</v>
      </c>
      <c r="C113" s="39">
        <v>5</v>
      </c>
      <c r="D113" s="66" t="s">
        <v>30</v>
      </c>
      <c r="E113" s="66">
        <f>LOOKUP(D113,Reference!$B$33:$B$46,Reference!$C$33:$C$46)</f>
        <v>1</v>
      </c>
      <c r="F113" s="66" t="s">
        <v>47</v>
      </c>
      <c r="G113" s="66">
        <f>LOOKUP(F113,Reference!$D$32:$D$55,Reference!$E$32:$E$55)</f>
        <v>0</v>
      </c>
      <c r="H113" s="66" t="s">
        <v>361</v>
      </c>
      <c r="I113" s="57">
        <f>IF(OR(E113="V",G113="V"),"V",IF(AND(E113="None",G113="None"),"None",(IF(E113="None",0,E113)+IF(G113="None",0,G113)+IF(H113="Yes",CharacterSheet!$V$34,0))))</f>
        <v>1</v>
      </c>
      <c r="J113" s="57" t="s">
        <v>360</v>
      </c>
      <c r="K113" s="66">
        <f>IF(J113="no",0,IF(OR(F113="None",F113="Cheval",F113="Legend",F113="Mystery",F113="Prophecy",F113="TsukumoGami"),0,IF(F113="Varies","V",IF(AND(G113=0,CharacterSheet!$R$36="No"),0,IF(AND(G113=0,CharacterSheet!$R$36="Yes"),LOOKUP(D113,Reference!$N$2:$N$10,Reference!$O$2:$O$10),IF(G113&gt;0,LOOKUP(D113,Reference!$N$2:$N$10,Reference!$P$2:$P$10),"ERROR"))))))</f>
        <v>0</v>
      </c>
      <c r="L113" s="66" t="s">
        <v>361</v>
      </c>
      <c r="M113" s="66">
        <f>IF(E113="V","V",IF(J113="Yes",K113,0)+IF(L113="Yes",CharacterSheet!D261,0))</f>
        <v>0</v>
      </c>
      <c r="N113" s="66" t="s">
        <v>1639</v>
      </c>
      <c r="O113" s="66" t="s">
        <v>1617</v>
      </c>
      <c r="P113" s="66" t="s">
        <v>1067</v>
      </c>
      <c r="Q113" s="188">
        <v>90</v>
      </c>
    </row>
    <row r="114" spans="1:17" x14ac:dyDescent="0.25">
      <c r="A114" s="86" t="s">
        <v>1158</v>
      </c>
      <c r="B114" s="39" t="s">
        <v>385</v>
      </c>
      <c r="C114" s="39">
        <v>3</v>
      </c>
      <c r="D114" s="66" t="s">
        <v>16</v>
      </c>
      <c r="E114" s="66">
        <f>LOOKUP(D114,Reference!$B$33:$B$46,Reference!$C$33:$C$46)</f>
        <v>1</v>
      </c>
      <c r="F114" s="66" t="s">
        <v>51</v>
      </c>
      <c r="G114" s="66">
        <f>LOOKUP(F114,Reference!$D$32:$D$55,Reference!$E$32:$E$55)</f>
        <v>0</v>
      </c>
      <c r="H114" s="66" t="s">
        <v>361</v>
      </c>
      <c r="I114" s="57">
        <f>IF(OR(E114="V",G114="V"),"V",IF(AND(E114="None",G114="None"),"None",(IF(E114="None",0,E114)+IF(G114="None",0,G114)+IF(H114="Yes",CharacterSheet!$V$34,0))))</f>
        <v>1</v>
      </c>
      <c r="J114" s="57" t="s">
        <v>360</v>
      </c>
      <c r="K114" s="66">
        <f>IF(J114="no",0,IF(OR(F114="None",F114="Cheval",F114="Legend",F114="Mystery",F114="Prophecy",F114="TsukumoGami"),0,IF(F114="Varies","V",IF(AND(G114=0,CharacterSheet!$R$36="No"),0,IF(AND(G114=0,CharacterSheet!$R$36="Yes"),LOOKUP(D114,Reference!$N$2:$N$10,Reference!$O$2:$O$10),IF(G114&gt;0,LOOKUP(D114,Reference!$N$2:$N$10,Reference!$P$2:$P$10),"ERROR"))))))</f>
        <v>0</v>
      </c>
      <c r="L114" s="66" t="s">
        <v>361</v>
      </c>
      <c r="M114" s="66">
        <f>IF(E114="V","V",IF(J114="Yes",K114,0)+IF(L114="Yes",CharacterSheet!D339,0))</f>
        <v>0</v>
      </c>
      <c r="N114" s="66" t="s">
        <v>1567</v>
      </c>
      <c r="O114" s="66" t="s">
        <v>1559</v>
      </c>
      <c r="P114" s="66" t="s">
        <v>141</v>
      </c>
      <c r="Q114" s="188">
        <v>154</v>
      </c>
    </row>
    <row r="115" spans="1:17" x14ac:dyDescent="0.25">
      <c r="A115" s="86" t="s">
        <v>1193</v>
      </c>
      <c r="B115" s="39" t="s">
        <v>372</v>
      </c>
      <c r="C115" s="39">
        <v>7</v>
      </c>
      <c r="D115" s="66" t="s">
        <v>508</v>
      </c>
      <c r="E115" s="66" t="str">
        <f>LOOKUP(D115,Reference!$B$33:$B$46,Reference!$C$33:$C$46)</f>
        <v>None</v>
      </c>
      <c r="F115" s="66" t="s">
        <v>508</v>
      </c>
      <c r="G115" s="66" t="str">
        <f>LOOKUP(F115,Reference!$D$32:$D$55,Reference!$E$32:$E$55)</f>
        <v>None</v>
      </c>
      <c r="H115" s="66" t="s">
        <v>361</v>
      </c>
      <c r="I115" s="57" t="str">
        <f>IF(OR(E115="V",G115="V"),"V",IF(AND(E115="None",G115="None"),"None",(IF(E115="None",0,E115)+IF(G115="None",0,G115)+IF(H115="Yes",CharacterSheet!$V$34,0))))</f>
        <v>None</v>
      </c>
      <c r="J115" s="57" t="s">
        <v>361</v>
      </c>
      <c r="K115" s="66">
        <f>IF(J115="no",0,IF(OR(F115="None",F115="Cheval",F115="Legend",F115="Mystery",F115="Prophecy",F115="TsukumoGami"),0,IF(F115="Varies","V",IF(AND(G115=0,CharacterSheet!$R$36="No"),0,IF(AND(G115=0,CharacterSheet!$R$36="Yes"),LOOKUP(D115,Reference!$N$2:$N$10,Reference!$O$2:$O$10),IF(G115&gt;0,LOOKUP(D115,Reference!$N$2:$N$10,Reference!$P$2:$P$10),"ERROR"))))))</f>
        <v>0</v>
      </c>
      <c r="L115" s="66" t="s">
        <v>361</v>
      </c>
      <c r="M115" s="66">
        <f>IF(E115="V","V",IF(J115="Yes",K115,0)+IF(L115="Yes",CharacterSheet!D372,0))</f>
        <v>0</v>
      </c>
      <c r="N115" s="66" t="s">
        <v>1630</v>
      </c>
      <c r="O115" s="66" t="s">
        <v>508</v>
      </c>
      <c r="P115" s="66" t="s">
        <v>1067</v>
      </c>
      <c r="Q115" s="188">
        <v>78</v>
      </c>
    </row>
    <row r="116" spans="1:17" x14ac:dyDescent="0.25">
      <c r="A116" s="86" t="s">
        <v>1341</v>
      </c>
      <c r="B116" s="39" t="s">
        <v>163</v>
      </c>
      <c r="C116" s="39">
        <v>8</v>
      </c>
      <c r="D116" s="66" t="s">
        <v>508</v>
      </c>
      <c r="E116" s="66" t="str">
        <f>LOOKUP(D116,Reference!$B$33:$B$46,Reference!$C$33:$C$46)</f>
        <v>None</v>
      </c>
      <c r="F116" s="66" t="s">
        <v>508</v>
      </c>
      <c r="G116" s="66" t="str">
        <f>LOOKUP(F116,Reference!$D$32:$D$55,Reference!$E$32:$E$55)</f>
        <v>None</v>
      </c>
      <c r="H116" s="66" t="s">
        <v>361</v>
      </c>
      <c r="I116" s="57" t="str">
        <f>IF(OR(E116="V",G116="V"),"V",IF(AND(E116="None",G116="None"),"None",(IF(E116="None",0,E116)+IF(G116="None",0,G116)+IF(H116="Yes",CharacterSheet!$V$34,0))))</f>
        <v>None</v>
      </c>
      <c r="J116" s="57" t="s">
        <v>361</v>
      </c>
      <c r="K116" s="66">
        <f>IF(J116="no",0,IF(OR(F116="None",F116="Cheval",F116="Legend",F116="Mystery",F116="Prophecy",F116="TsukumoGami"),0,IF(F116="Varies","V",IF(AND(G116=0,CharacterSheet!$R$36="No"),0,IF(AND(G116=0,CharacterSheet!$R$36="Yes"),LOOKUP(D116,Reference!$N$2:$N$10,Reference!$O$2:$O$10),IF(G116&gt;0,LOOKUP(D116,Reference!$N$2:$N$10,Reference!$P$2:$P$10),"ERROR"))))))</f>
        <v>0</v>
      </c>
      <c r="L116" s="66" t="s">
        <v>361</v>
      </c>
      <c r="M116" s="66">
        <f>IF(E116="V","V",IF(J116="Yes",K116,0)+IF(L116="Yes",CharacterSheet!D87,0))</f>
        <v>0</v>
      </c>
      <c r="N116" s="66" t="s">
        <v>1672</v>
      </c>
      <c r="O116" s="66" t="s">
        <v>508</v>
      </c>
      <c r="P116" s="66" t="s">
        <v>5</v>
      </c>
      <c r="Q116" s="188">
        <v>108</v>
      </c>
    </row>
    <row r="117" spans="1:17" x14ac:dyDescent="0.25">
      <c r="A117" s="86" t="s">
        <v>1475</v>
      </c>
      <c r="B117" s="39" t="s">
        <v>196</v>
      </c>
      <c r="C117" s="39">
        <v>1</v>
      </c>
      <c r="D117" s="66" t="s">
        <v>508</v>
      </c>
      <c r="E117" s="66" t="str">
        <f>LOOKUP(D117,Reference!$B$33:$B$46,Reference!$C$33:$C$46)</f>
        <v>None</v>
      </c>
      <c r="F117" s="66" t="s">
        <v>508</v>
      </c>
      <c r="G117" s="66" t="str">
        <f>LOOKUP(F117,Reference!$D$32:$D$55,Reference!$E$32:$E$55)</f>
        <v>None</v>
      </c>
      <c r="H117" s="66" t="s">
        <v>361</v>
      </c>
      <c r="I117" s="57" t="str">
        <f>IF(OR(E117="V",G117="V"),"V",IF(AND(E117="None",G117="None"),"None",(IF(E117="None",0,E117)+IF(G117="None",0,G117)+IF(H117="Yes",CharacterSheet!$V$34,0))))</f>
        <v>None</v>
      </c>
      <c r="J117" s="57" t="s">
        <v>361</v>
      </c>
      <c r="K117" s="66">
        <f>IF(J117="no",0,IF(OR(F117="None",F117="Cheval",F117="Legend",F117="Mystery",F117="Prophecy",F117="TsukumoGami"),0,IF(F117="Varies","V",IF(AND(G117=0,CharacterSheet!$R$36="No"),0,IF(AND(G117=0,CharacterSheet!$R$36="Yes"),LOOKUP(D117,Reference!$N$2:$N$10,Reference!$O$2:$O$10),IF(G117&gt;0,LOOKUP(D117,Reference!$N$2:$N$10,Reference!$P$2:$P$10),"ERROR"))))))</f>
        <v>0</v>
      </c>
      <c r="L117" s="66" t="s">
        <v>361</v>
      </c>
      <c r="M117" s="66">
        <f>IF(E117="V","V",IF(J117="Yes",K117,0)+IF(L117="Yes",CharacterSheet!D450,0))</f>
        <v>0</v>
      </c>
      <c r="N117" s="66" t="s">
        <v>1076</v>
      </c>
      <c r="O117" s="66" t="s">
        <v>508</v>
      </c>
      <c r="P117" s="66" t="s">
        <v>1068</v>
      </c>
      <c r="Q117" s="188">
        <v>245</v>
      </c>
    </row>
    <row r="118" spans="1:17" x14ac:dyDescent="0.25">
      <c r="A118" s="86" t="s">
        <v>1249</v>
      </c>
      <c r="B118" s="39" t="s">
        <v>163</v>
      </c>
      <c r="C118" s="39">
        <v>7</v>
      </c>
      <c r="D118" s="66" t="s">
        <v>508</v>
      </c>
      <c r="E118" s="66" t="str">
        <f>LOOKUP(D118,Reference!$B$33:$B$46,Reference!$C$33:$C$46)</f>
        <v>None</v>
      </c>
      <c r="F118" s="66" t="s">
        <v>508</v>
      </c>
      <c r="G118" s="66" t="str">
        <f>LOOKUP(F118,Reference!$D$32:$D$55,Reference!$E$32:$E$55)</f>
        <v>None</v>
      </c>
      <c r="H118" s="66" t="s">
        <v>361</v>
      </c>
      <c r="I118" s="57" t="str">
        <f>IF(OR(E118="V",G118="V"),"V",IF(AND(E118="None",G118="None"),"None",(IF(E118="None",0,E118)+IF(G118="None",0,G118)+IF(H118="Yes",CharacterSheet!$V$34,0))))</f>
        <v>None</v>
      </c>
      <c r="J118" s="57" t="s">
        <v>361</v>
      </c>
      <c r="K118" s="66">
        <f>IF(J118="no",0,IF(OR(F118="None",F118="Cheval",F118="Legend",F118="Mystery",F118="Prophecy",F118="TsukumoGami"),0,IF(F118="Varies","V",IF(AND(G118=0,CharacterSheet!$R$36="No"),0,IF(AND(G118=0,CharacterSheet!$R$36="Yes"),LOOKUP(D118,Reference!$N$2:$N$10,Reference!$O$2:$O$10),IF(G118&gt;0,LOOKUP(D118,Reference!$N$2:$N$10,Reference!$P$2:$P$10),"ERROR"))))))</f>
        <v>0</v>
      </c>
      <c r="L118" s="66" t="s">
        <v>361</v>
      </c>
      <c r="M118" s="66">
        <f>IF(E118="V","V",IF(J118="Yes",K118,0)+IF(L118="Yes",CharacterSheet!D267,0))</f>
        <v>0</v>
      </c>
      <c r="N118" s="66" t="s">
        <v>1599</v>
      </c>
      <c r="O118" s="66" t="s">
        <v>508</v>
      </c>
      <c r="P118" s="66" t="s">
        <v>1067</v>
      </c>
      <c r="Q118" s="188">
        <v>95</v>
      </c>
    </row>
    <row r="119" spans="1:17" x14ac:dyDescent="0.25">
      <c r="A119" s="86" t="s">
        <v>1304</v>
      </c>
      <c r="B119" s="39" t="s">
        <v>374</v>
      </c>
      <c r="C119" s="39">
        <v>10</v>
      </c>
      <c r="D119" s="66" t="s">
        <v>19</v>
      </c>
      <c r="E119" s="66">
        <f>LOOKUP(D119,Reference!$B$33:$B$46,Reference!$C$33:$C$46)</f>
        <v>1</v>
      </c>
      <c r="F119" s="66" t="s">
        <v>41</v>
      </c>
      <c r="G119" s="66">
        <f>LOOKUP(F119,Reference!$D$32:$D$55,Reference!$E$32:$E$55)</f>
        <v>0</v>
      </c>
      <c r="H119" s="66" t="s">
        <v>361</v>
      </c>
      <c r="I119" s="57">
        <f>IF(OR(E119="V",G119="V"),"V",IF(AND(E119="None",G119="None"),"None",(IF(E119="None",0,E119)+IF(G119="None",0,G119)+IF(H119="Yes",CharacterSheet!$V$34,0))))</f>
        <v>1</v>
      </c>
      <c r="J119" s="57" t="s">
        <v>360</v>
      </c>
      <c r="K119" s="66">
        <f>IF(J119="no",0,IF(OR(F119="None",F119="Cheval",F119="Legend",F119="Mystery",F119="Prophecy",F119="TsukumoGami"),0,IF(F119="Varies","V",IF(AND(G119=0,CharacterSheet!$R$36="No"),0,IF(AND(G119=0,CharacterSheet!$R$36="Yes"),LOOKUP(D119,Reference!$N$2:$N$10,Reference!$O$2:$O$10),IF(G119&gt;0,LOOKUP(D119,Reference!$N$2:$N$10,Reference!$P$2:$P$10),"ERROR"))))))</f>
        <v>0</v>
      </c>
      <c r="L119" s="66" t="s">
        <v>361</v>
      </c>
      <c r="M119" s="66">
        <f>IF(E119="V","V",IF(J119="Yes",K119,0)+IF(L119="Yes",CharacterSheet!D186,0))</f>
        <v>0</v>
      </c>
      <c r="N119" s="66" t="s">
        <v>1662</v>
      </c>
      <c r="O119" s="66" t="s">
        <v>1548</v>
      </c>
      <c r="P119" s="66" t="s">
        <v>5</v>
      </c>
      <c r="Q119" s="188">
        <v>94</v>
      </c>
    </row>
    <row r="120" spans="1:17" x14ac:dyDescent="0.25">
      <c r="A120" s="86" t="s">
        <v>1127</v>
      </c>
      <c r="B120" s="39" t="s">
        <v>379</v>
      </c>
      <c r="C120" s="39">
        <v>2</v>
      </c>
      <c r="D120" s="66" t="s">
        <v>508</v>
      </c>
      <c r="E120" s="66" t="str">
        <f>LOOKUP(D120,Reference!$B$33:$B$46,Reference!$C$33:$C$46)</f>
        <v>None</v>
      </c>
      <c r="F120" s="66" t="s">
        <v>508</v>
      </c>
      <c r="G120" s="66" t="str">
        <f>LOOKUP(F120,Reference!$D$32:$D$55,Reference!$E$32:$E$55)</f>
        <v>None</v>
      </c>
      <c r="H120" s="66" t="s">
        <v>361</v>
      </c>
      <c r="I120" s="57" t="str">
        <f>IF(OR(E120="V",G120="V"),"V",IF(AND(E120="None",G120="None"),"None",(IF(E120="None",0,E120)+IF(G120="None",0,G120)+IF(H120="Yes",CharacterSheet!$V$34,0))))</f>
        <v>None</v>
      </c>
      <c r="J120" s="57" t="s">
        <v>361</v>
      </c>
      <c r="K120" s="66">
        <f>IF(J120="no",0,IF(OR(F120="None",F120="Cheval",F120="Legend",F120="Mystery",F120="Prophecy",F120="TsukumoGami"),0,IF(F120="Varies","V",IF(AND(G120=0,CharacterSheet!$R$36="No"),0,IF(AND(G120=0,CharacterSheet!$R$36="Yes"),LOOKUP(D120,Reference!$N$2:$N$10,Reference!$O$2:$O$10),IF(G120&gt;0,LOOKUP(D120,Reference!$N$2:$N$10,Reference!$P$2:$P$10),"ERROR"))))))</f>
        <v>0</v>
      </c>
      <c r="L120" s="66" t="s">
        <v>361</v>
      </c>
      <c r="M120" s="66">
        <f>IF(E120="V","V",IF(J120="Yes",K120,0)+IF(L120="Yes",CharacterSheet!D357,0))</f>
        <v>0</v>
      </c>
      <c r="N120" s="66" t="s">
        <v>1072</v>
      </c>
      <c r="O120" s="66" t="s">
        <v>508</v>
      </c>
      <c r="P120" s="66" t="s">
        <v>141</v>
      </c>
      <c r="Q120" s="188">
        <v>147</v>
      </c>
    </row>
    <row r="121" spans="1:17" x14ac:dyDescent="0.25">
      <c r="A121" s="86" t="s">
        <v>1295</v>
      </c>
      <c r="B121" s="39" t="s">
        <v>373</v>
      </c>
      <c r="C121" s="39">
        <v>9</v>
      </c>
      <c r="D121" s="66" t="s">
        <v>20</v>
      </c>
      <c r="E121" s="66">
        <f>LOOKUP(D121,Reference!$B$33:$B$46,Reference!$C$33:$C$46)</f>
        <v>1</v>
      </c>
      <c r="F121" s="66" t="s">
        <v>41</v>
      </c>
      <c r="G121" s="66">
        <f>LOOKUP(F121,Reference!$D$32:$D$55,Reference!$E$32:$E$55)</f>
        <v>0</v>
      </c>
      <c r="H121" s="66" t="s">
        <v>361</v>
      </c>
      <c r="I121" s="57">
        <f>IF(OR(E121="V",G121="V"),"V",IF(AND(E121="None",G121="None"),"None",(IF(E121="None",0,E121)+IF(G121="None",0,G121)+IF(H121="Yes",CharacterSheet!$V$34,0))))</f>
        <v>1</v>
      </c>
      <c r="J121" s="57" t="s">
        <v>360</v>
      </c>
      <c r="K121" s="66">
        <f>IF(J121="no",0,IF(OR(F121="None",F121="Cheval",F121="Legend",F121="Mystery",F121="Prophecy",F121="TsukumoGami"),0,IF(F121="Varies","V",IF(AND(G121=0,CharacterSheet!$R$36="No"),0,IF(AND(G121=0,CharacterSheet!$R$36="Yes"),LOOKUP(D121,Reference!$N$2:$N$10,Reference!$O$2:$O$10),IF(G121&gt;0,LOOKUP(D121,Reference!$N$2:$N$10,Reference!$P$2:$P$10),"ERROR"))))))</f>
        <v>0</v>
      </c>
      <c r="L121" s="66" t="s">
        <v>361</v>
      </c>
      <c r="M121" s="66">
        <f>IF(E121="V","V",IF(J121="Yes",K121,0)+IF(L121="Yes",CharacterSheet!D235,0))</f>
        <v>0</v>
      </c>
      <c r="N121" s="66" t="s">
        <v>1074</v>
      </c>
      <c r="O121" s="66" t="s">
        <v>1609</v>
      </c>
      <c r="P121" s="66" t="s">
        <v>5</v>
      </c>
      <c r="Q121" s="188">
        <v>91</v>
      </c>
    </row>
    <row r="122" spans="1:17" x14ac:dyDescent="0.25">
      <c r="A122" s="86" t="s">
        <v>1427</v>
      </c>
      <c r="B122" s="39" t="s">
        <v>377</v>
      </c>
      <c r="C122" s="39">
        <v>4</v>
      </c>
      <c r="D122" s="66" t="s">
        <v>20</v>
      </c>
      <c r="E122" s="66">
        <f>LOOKUP(D122,Reference!$B$33:$B$46,Reference!$C$33:$C$46)</f>
        <v>1</v>
      </c>
      <c r="F122" s="66" t="s">
        <v>55</v>
      </c>
      <c r="G122" s="66">
        <f>LOOKUP(F122,Reference!$D$32:$D$55,Reference!$E$32:$E$55)</f>
        <v>0</v>
      </c>
      <c r="H122" s="66" t="s">
        <v>361</v>
      </c>
      <c r="I122" s="57">
        <f>IF(OR(E122="V",G122="V"),"V",IF(AND(E122="None",G122="None"),"None",(IF(E122="None",0,E122)+IF(G122="None",0,G122)+IF(H122="Yes",CharacterSheet!$V$34,0))))</f>
        <v>1</v>
      </c>
      <c r="J122" s="57" t="s">
        <v>360</v>
      </c>
      <c r="K122" s="66">
        <f>IF(J122="no",0,IF(OR(F122="None",F122="Cheval",F122="Legend",F122="Mystery",F122="Prophecy",F122="TsukumoGami"),0,IF(F122="Varies","V",IF(AND(G122=0,CharacterSheet!$R$36="No"),0,IF(AND(G122=0,CharacterSheet!$R$36="Yes"),LOOKUP(D122,Reference!$N$2:$N$10,Reference!$O$2:$O$10),IF(G122&gt;0,LOOKUP(D122,Reference!$N$2:$N$10,Reference!$P$2:$P$10),"ERROR"))))))</f>
        <v>0</v>
      </c>
      <c r="L122" s="66" t="s">
        <v>361</v>
      </c>
      <c r="M122" s="66">
        <f>IF(E122="V","V",IF(J122="Yes",K122,0)+IF(L122="Yes",CharacterSheet!D237,0))</f>
        <v>0</v>
      </c>
      <c r="N122" s="66" t="s">
        <v>1076</v>
      </c>
      <c r="O122" s="66" t="s">
        <v>1706</v>
      </c>
      <c r="P122" s="66" t="s">
        <v>1068</v>
      </c>
      <c r="Q122" s="188">
        <v>77</v>
      </c>
    </row>
    <row r="123" spans="1:17" x14ac:dyDescent="0.25">
      <c r="A123" s="86" t="s">
        <v>1349</v>
      </c>
      <c r="B123" s="39" t="s">
        <v>385</v>
      </c>
      <c r="C123" s="39">
        <v>10</v>
      </c>
      <c r="D123" s="66" t="s">
        <v>13</v>
      </c>
      <c r="E123" s="66">
        <f>LOOKUP(D123,Reference!$B$33:$B$46,Reference!$C$33:$C$46)</f>
        <v>1</v>
      </c>
      <c r="F123" s="66" t="s">
        <v>49</v>
      </c>
      <c r="G123" s="66">
        <f>LOOKUP(F123,Reference!$D$32:$D$55,Reference!$E$32:$E$55)</f>
        <v>0</v>
      </c>
      <c r="H123" s="66" t="s">
        <v>361</v>
      </c>
      <c r="I123" s="57">
        <f>IF(OR(E123="V",G123="V"),"V",IF(AND(E123="None",G123="None"),"None",(IF(E123="None",0,E123)+IF(G123="None",0,G123)+IF(H123="Yes",CharacterSheet!$V$34,0))))</f>
        <v>1</v>
      </c>
      <c r="J123" s="57" t="s">
        <v>360</v>
      </c>
      <c r="K123" s="66">
        <f>IF(J123="no",0,IF(OR(F123="None",F123="Cheval",F123="Legend",F123="Mystery",F123="Prophecy",F123="TsukumoGami"),0,IF(F123="Varies","V",IF(AND(G123=0,CharacterSheet!$R$36="No"),0,IF(AND(G123=0,CharacterSheet!$R$36="Yes"),LOOKUP(D123,Reference!$N$2:$N$10,Reference!$O$2:$O$10),IF(G123&gt;0,LOOKUP(D123,Reference!$N$2:$N$10,Reference!$P$2:$P$10),"ERROR"))))))</f>
        <v>0</v>
      </c>
      <c r="L123" s="66" t="s">
        <v>361</v>
      </c>
      <c r="M123" s="66">
        <f>IF(E123="V","V",IF(J123="Yes",K123,0)+IF(L123="Yes",CharacterSheet!D266,0))</f>
        <v>0</v>
      </c>
      <c r="N123" s="66" t="s">
        <v>1086</v>
      </c>
      <c r="O123" s="66" t="s">
        <v>1623</v>
      </c>
      <c r="P123" s="66" t="s">
        <v>5</v>
      </c>
      <c r="Q123" s="188">
        <v>111</v>
      </c>
    </row>
    <row r="124" spans="1:17" x14ac:dyDescent="0.25">
      <c r="A124" s="86" t="s">
        <v>1451</v>
      </c>
      <c r="B124" s="39" t="s">
        <v>177</v>
      </c>
      <c r="C124" s="39">
        <v>8</v>
      </c>
      <c r="D124" s="66" t="s">
        <v>508</v>
      </c>
      <c r="E124" s="66" t="str">
        <f>LOOKUP(D124,Reference!$B$33:$B$46,Reference!$C$33:$C$46)</f>
        <v>None</v>
      </c>
      <c r="F124" s="66" t="s">
        <v>508</v>
      </c>
      <c r="G124" s="66" t="str">
        <f>LOOKUP(F124,Reference!$D$32:$D$55,Reference!$E$32:$E$55)</f>
        <v>None</v>
      </c>
      <c r="H124" s="66" t="s">
        <v>361</v>
      </c>
      <c r="I124" s="57" t="str">
        <f>IF(OR(E124="V",G124="V"),"V",IF(AND(E124="None",G124="None"),"None",(IF(E124="None",0,E124)+IF(G124="None",0,G124)+IF(H124="Yes",CharacterSheet!$V$34,0))))</f>
        <v>None</v>
      </c>
      <c r="J124" s="57" t="s">
        <v>361</v>
      </c>
      <c r="K124" s="66">
        <f>IF(J124="no",0,IF(OR(F124="None",F124="Cheval",F124="Legend",F124="Mystery",F124="Prophecy",F124="TsukumoGami"),0,IF(F124="Varies","V",IF(AND(G124=0,CharacterSheet!$R$36="No"),0,IF(AND(G124=0,CharacterSheet!$R$36="Yes"),LOOKUP(D124,Reference!$N$2:$N$10,Reference!$O$2:$O$10),IF(G124&gt;0,LOOKUP(D124,Reference!$N$2:$N$10,Reference!$P$2:$P$10),"ERROR"))))))</f>
        <v>0</v>
      </c>
      <c r="L124" s="66" t="s">
        <v>361</v>
      </c>
      <c r="M124" s="66">
        <f>IF(E124="V","V",IF(J124="Yes",K124,0)+IF(L124="Yes",CharacterSheet!D321,0))</f>
        <v>0</v>
      </c>
      <c r="N124" s="66" t="s">
        <v>1075</v>
      </c>
      <c r="O124" s="66" t="s">
        <v>508</v>
      </c>
      <c r="P124" s="66" t="s">
        <v>1068</v>
      </c>
      <c r="Q124" s="188">
        <v>98</v>
      </c>
    </row>
    <row r="125" spans="1:17" x14ac:dyDescent="0.25">
      <c r="A125" s="86" t="s">
        <v>1202</v>
      </c>
      <c r="B125" s="39" t="s">
        <v>374</v>
      </c>
      <c r="C125" s="39">
        <v>4</v>
      </c>
      <c r="D125" s="66" t="s">
        <v>20</v>
      </c>
      <c r="E125" s="66">
        <f>LOOKUP(D125,Reference!$B$33:$B$46,Reference!$C$33:$C$46)</f>
        <v>1</v>
      </c>
      <c r="F125" s="66" t="s">
        <v>41</v>
      </c>
      <c r="G125" s="66">
        <f>LOOKUP(F125,Reference!$D$32:$D$55,Reference!$E$32:$E$55)</f>
        <v>0</v>
      </c>
      <c r="H125" s="66" t="s">
        <v>361</v>
      </c>
      <c r="I125" s="57">
        <f>IF(OR(E125="V",G125="V"),"V",IF(AND(E125="None",G125="None"),"None",(IF(E125="None",0,E125)+IF(G125="None",0,G125)+IF(H125="Yes",CharacterSheet!$V$34,0))))</f>
        <v>1</v>
      </c>
      <c r="J125" s="57" t="s">
        <v>360</v>
      </c>
      <c r="K125" s="66">
        <f>IF(J125="no",0,IF(OR(F125="None",F125="Cheval",F125="Legend",F125="Mystery",F125="Prophecy",F125="TsukumoGami"),0,IF(F125="Varies","V",IF(AND(G125=0,CharacterSheet!$R$36="No"),0,IF(AND(G125=0,CharacterSheet!$R$36="Yes"),LOOKUP(D125,Reference!$N$2:$N$10,Reference!$O$2:$O$10),IF(G125&gt;0,LOOKUP(D125,Reference!$N$2:$N$10,Reference!$P$2:$P$10),"ERROR"))))))</f>
        <v>0</v>
      </c>
      <c r="L125" s="66" t="s">
        <v>361</v>
      </c>
      <c r="M125" s="66">
        <f>IF(E125="V","V",IF(J125="Yes",K125,0)+IF(L125="Yes",CharacterSheet!D405,0))</f>
        <v>0</v>
      </c>
      <c r="N125" s="66" t="s">
        <v>1624</v>
      </c>
      <c r="O125" s="66" t="s">
        <v>1609</v>
      </c>
      <c r="P125" s="66" t="s">
        <v>1067</v>
      </c>
      <c r="Q125" s="188">
        <v>82</v>
      </c>
    </row>
    <row r="126" spans="1:17" x14ac:dyDescent="0.25">
      <c r="A126" s="87" t="s">
        <v>1525</v>
      </c>
      <c r="B126" s="66" t="s">
        <v>703</v>
      </c>
      <c r="C126" s="39">
        <v>4</v>
      </c>
      <c r="D126" s="66" t="s">
        <v>21</v>
      </c>
      <c r="E126" s="66">
        <f>LOOKUP(D126,Reference!$B$33:$B$46,Reference!$C$33:$C$46)</f>
        <v>1</v>
      </c>
      <c r="F126" s="66" t="s">
        <v>55</v>
      </c>
      <c r="G126" s="66">
        <f>LOOKUP(F126,Reference!$D$32:$D$55,Reference!$E$32:$E$55)</f>
        <v>0</v>
      </c>
      <c r="H126" s="66" t="s">
        <v>361</v>
      </c>
      <c r="I126" s="57">
        <f>IF(OR(E126="V",G126="V"),"V",IF(AND(E126="None",G126="None"),"None",(IF(E126="None",0,E126)+IF(G126="None",0,G126)+IF(H126="Yes",CharacterSheet!$V$34,0))))</f>
        <v>1</v>
      </c>
      <c r="J126" s="57" t="s">
        <v>360</v>
      </c>
      <c r="K126" s="66">
        <f>IF(J126="no",0,IF(OR(F126="None",F126="Cheval",F126="Legend",F126="Mystery",F126="Prophecy",F126="TsukumoGami"),0,IF(F126="Varies","V",IF(AND(G126=0,CharacterSheet!$R$36="No"),0,IF(AND(G126=0,CharacterSheet!$R$36="Yes"),LOOKUP(D126,Reference!$N$2:$N$10,Reference!$O$2:$O$10),IF(G126&gt;0,LOOKUP(D126,Reference!$N$2:$N$10,Reference!$P$2:$P$10),"ERROR"))))))</f>
        <v>0</v>
      </c>
      <c r="L126" s="66" t="s">
        <v>361</v>
      </c>
      <c r="M126" s="66">
        <f>IF(E126="V","V",IF(J126="Yes",K126,0)+IF(L126="Yes",CharacterSheet!D114,0))</f>
        <v>0</v>
      </c>
      <c r="N126" s="66" t="s">
        <v>1716</v>
      </c>
      <c r="O126" s="66" t="s">
        <v>1737</v>
      </c>
      <c r="P126" s="66" t="s">
        <v>1507</v>
      </c>
      <c r="Q126" s="188">
        <v>40</v>
      </c>
    </row>
    <row r="127" spans="1:17" x14ac:dyDescent="0.25">
      <c r="A127" s="87" t="s">
        <v>1529</v>
      </c>
      <c r="B127" s="66" t="s">
        <v>703</v>
      </c>
      <c r="C127" s="39">
        <v>8</v>
      </c>
      <c r="D127" s="66" t="s">
        <v>1086</v>
      </c>
      <c r="E127" s="66" t="str">
        <f>LOOKUP(D127,Reference!$B$33:$B$46,Reference!$C$33:$C$46)</f>
        <v>V</v>
      </c>
      <c r="F127" s="66" t="s">
        <v>1086</v>
      </c>
      <c r="G127" s="66" t="str">
        <f>LOOKUP(F127,Reference!$D$32:$D$55,Reference!$E$32:$E$55)</f>
        <v>V</v>
      </c>
      <c r="H127" s="66" t="s">
        <v>361</v>
      </c>
      <c r="I127" s="57" t="str">
        <f>IF(OR(E127="V",G127="V"),"V",IF(AND(E127="None",G127="None"),"None",(IF(E127="None",0,E127)+IF(G127="None",0,G127)+IF(H127="Yes",CharacterSheet!$V$34,0))))</f>
        <v>V</v>
      </c>
      <c r="J127" s="57" t="s">
        <v>360</v>
      </c>
      <c r="K127" s="66" t="str">
        <f>IF(J127="no",0,IF(OR(F127="None",F127="Cheval",F127="Legend",F127="Mystery",F127="Prophecy",F127="TsukumoGami"),0,IF(F127="Varies","V",IF(AND(G127=0,CharacterSheet!$R$36="No"),0,IF(AND(G127=0,CharacterSheet!$R$36="Yes"),LOOKUP(D127,Reference!$N$2:$N$10,Reference!$O$2:$O$10),IF(G127&gt;0,LOOKUP(D127,Reference!$N$2:$N$10,Reference!$P$2:$P$10),"ERROR"))))))</f>
        <v>V</v>
      </c>
      <c r="L127" s="66" t="s">
        <v>361</v>
      </c>
      <c r="M127" s="66" t="str">
        <f>IF(E127="V","V",IF(J127="Yes",K127,0)+IF(L127="Yes",CharacterSheet!D382,0))</f>
        <v>V</v>
      </c>
      <c r="N127" s="66" t="s">
        <v>1740</v>
      </c>
      <c r="O127" s="66" t="s">
        <v>1086</v>
      </c>
      <c r="P127" s="66" t="s">
        <v>1507</v>
      </c>
      <c r="Q127" s="188">
        <v>42</v>
      </c>
    </row>
    <row r="128" spans="1:17" x14ac:dyDescent="0.25">
      <c r="A128" s="86" t="s">
        <v>1433</v>
      </c>
      <c r="B128" s="39" t="s">
        <v>381</v>
      </c>
      <c r="C128" s="39">
        <v>5</v>
      </c>
      <c r="D128" s="66" t="s">
        <v>13</v>
      </c>
      <c r="E128" s="66">
        <f>LOOKUP(D128,Reference!$B$33:$B$46,Reference!$C$33:$C$46)</f>
        <v>1</v>
      </c>
      <c r="F128" s="66" t="s">
        <v>58</v>
      </c>
      <c r="G128" s="66">
        <f>LOOKUP(F128,Reference!$D$32:$D$55,Reference!$E$32:$E$55)</f>
        <v>0</v>
      </c>
      <c r="H128" s="66" t="s">
        <v>361</v>
      </c>
      <c r="I128" s="57">
        <f>IF(OR(E128="V",G128="V"),"V",IF(AND(E128="None",G128="None"),"None",(IF(E128="None",0,E128)+IF(G128="None",0,G128)+IF(H128="Yes",CharacterSheet!$V$34,0))))</f>
        <v>1</v>
      </c>
      <c r="J128" s="57" t="s">
        <v>360</v>
      </c>
      <c r="K128" s="66">
        <f>IF(J128="no",0,IF(OR(F128="None",F128="Cheval",F128="Legend",F128="Mystery",F128="Prophecy",F128="TsukumoGami"),0,IF(F128="Varies","V",IF(AND(G128=0,CharacterSheet!$R$36="No"),0,IF(AND(G128=0,CharacterSheet!$R$36="Yes"),LOOKUP(D128,Reference!$N$2:$N$10,Reference!$O$2:$O$10),IF(G128&gt;0,LOOKUP(D128,Reference!$N$2:$N$10,Reference!$P$2:$P$10),"ERROR"))))))</f>
        <v>0</v>
      </c>
      <c r="L128" s="66" t="s">
        <v>361</v>
      </c>
      <c r="M128" s="66">
        <f>IF(E128="V","V",IF(J128="Yes",K128,0)+IF(L128="Yes",CharacterSheet!D409,0))</f>
        <v>0</v>
      </c>
      <c r="N128" s="66" t="s">
        <v>1626</v>
      </c>
      <c r="O128" s="66" t="s">
        <v>1714</v>
      </c>
      <c r="P128" s="66" t="s">
        <v>1068</v>
      </c>
      <c r="Q128" s="188">
        <v>79</v>
      </c>
    </row>
    <row r="129" spans="1:17" x14ac:dyDescent="0.25">
      <c r="A129" s="86" t="s">
        <v>1182</v>
      </c>
      <c r="B129" s="39" t="s">
        <v>370</v>
      </c>
      <c r="C129" s="39">
        <v>4</v>
      </c>
      <c r="D129" s="66" t="s">
        <v>508</v>
      </c>
      <c r="E129" s="66" t="str">
        <f>LOOKUP(D129,Reference!$B$33:$B$46,Reference!$C$33:$C$46)</f>
        <v>None</v>
      </c>
      <c r="F129" s="66" t="s">
        <v>508</v>
      </c>
      <c r="G129" s="66" t="str">
        <f>LOOKUP(F129,Reference!$D$32:$D$55,Reference!$E$32:$E$55)</f>
        <v>None</v>
      </c>
      <c r="H129" s="66" t="s">
        <v>361</v>
      </c>
      <c r="I129" s="57" t="str">
        <f>IF(OR(E129="V",G129="V"),"V",IF(AND(E129="None",G129="None"),"None",(IF(E129="None",0,E129)+IF(G129="None",0,G129)+IF(H129="Yes",CharacterSheet!$V$34,0))))</f>
        <v>None</v>
      </c>
      <c r="J129" s="57" t="s">
        <v>361</v>
      </c>
      <c r="K129" s="66">
        <f>IF(J129="no",0,IF(OR(F129="None",F129="Cheval",F129="Legend",F129="Mystery",F129="Prophecy",F129="TsukumoGami"),0,IF(F129="Varies","V",IF(AND(G129=0,CharacterSheet!$R$36="No"),0,IF(AND(G129=0,CharacterSheet!$R$36="Yes"),LOOKUP(D129,Reference!$N$2:$N$10,Reference!$O$2:$O$10),IF(G129&gt;0,LOOKUP(D129,Reference!$N$2:$N$10,Reference!$P$2:$P$10),"ERROR"))))))</f>
        <v>0</v>
      </c>
      <c r="L129" s="66" t="s">
        <v>361</v>
      </c>
      <c r="M129" s="66">
        <f>IF(E129="V","V",IF(J129="Yes",K129,0)+IF(L129="Yes",CharacterSheet!D49,0))</f>
        <v>0</v>
      </c>
      <c r="N129" s="66" t="s">
        <v>1072</v>
      </c>
      <c r="O129" s="66" t="s">
        <v>508</v>
      </c>
      <c r="P129" s="66" t="s">
        <v>1067</v>
      </c>
      <c r="Q129" s="188">
        <v>75</v>
      </c>
    </row>
    <row r="130" spans="1:17" x14ac:dyDescent="0.25">
      <c r="A130" s="86" t="s">
        <v>1184</v>
      </c>
      <c r="B130" s="39" t="s">
        <v>370</v>
      </c>
      <c r="C130" s="39">
        <v>6</v>
      </c>
      <c r="D130" s="66" t="s">
        <v>508</v>
      </c>
      <c r="E130" s="66" t="str">
        <f>LOOKUP(D130,Reference!$B$33:$B$46,Reference!$C$33:$C$46)</f>
        <v>None</v>
      </c>
      <c r="F130" s="66" t="s">
        <v>508</v>
      </c>
      <c r="G130" s="66" t="str">
        <f>LOOKUP(F130,Reference!$D$32:$D$55,Reference!$E$32:$E$55)</f>
        <v>None</v>
      </c>
      <c r="H130" s="66" t="s">
        <v>361</v>
      </c>
      <c r="I130" s="57" t="str">
        <f>IF(OR(E130="V",G130="V"),"V",IF(AND(E130="None",G130="None"),"None",(IF(E130="None",0,E130)+IF(G130="None",0,G130)+IF(H130="Yes",CharacterSheet!$V$34,0))))</f>
        <v>None</v>
      </c>
      <c r="J130" s="57" t="s">
        <v>361</v>
      </c>
      <c r="K130" s="66">
        <f>IF(J130="no",0,IF(OR(F130="None",F130="Cheval",F130="Legend",F130="Mystery",F130="Prophecy",F130="TsukumoGami"),0,IF(F130="Varies","V",IF(AND(G130=0,CharacterSheet!$R$36="No"),0,IF(AND(G130=0,CharacterSheet!$R$36="Yes"),LOOKUP(D130,Reference!$N$2:$N$10,Reference!$O$2:$O$10),IF(G130&gt;0,LOOKUP(D130,Reference!$N$2:$N$10,Reference!$P$2:$P$10),"ERROR"))))))</f>
        <v>0</v>
      </c>
      <c r="L130" s="66" t="s">
        <v>361</v>
      </c>
      <c r="M130" s="66">
        <f>IF(E130="V","V",IF(J130="Yes",K130,0)+IF(L130="Yes",CharacterSheet!D131,0))</f>
        <v>0</v>
      </c>
      <c r="N130" s="66" t="s">
        <v>1633</v>
      </c>
      <c r="O130" s="66" t="s">
        <v>508</v>
      </c>
      <c r="P130" s="66" t="s">
        <v>1067</v>
      </c>
      <c r="Q130" s="188">
        <v>75</v>
      </c>
    </row>
    <row r="131" spans="1:17" x14ac:dyDescent="0.25">
      <c r="A131" s="86" t="s">
        <v>1282</v>
      </c>
      <c r="B131" s="39" t="s">
        <v>370</v>
      </c>
      <c r="C131" s="39">
        <v>8</v>
      </c>
      <c r="D131" s="66" t="s">
        <v>14</v>
      </c>
      <c r="E131" s="66">
        <f>LOOKUP(D131,Reference!$B$33:$B$46,Reference!$C$33:$C$46)</f>
        <v>1</v>
      </c>
      <c r="F131" s="66" t="s">
        <v>57</v>
      </c>
      <c r="G131" s="66">
        <f>LOOKUP(F131,Reference!$D$32:$D$55,Reference!$E$32:$E$55)</f>
        <v>0</v>
      </c>
      <c r="H131" s="66" t="s">
        <v>361</v>
      </c>
      <c r="I131" s="57">
        <f>IF(OR(E131="V",G131="V"),"V",IF(AND(E131="None",G131="None"),"None",(IF(E131="None",0,E131)+IF(G131="None",0,G131)+IF(H131="Yes",CharacterSheet!$V$34,0))))</f>
        <v>1</v>
      </c>
      <c r="J131" s="57" t="s">
        <v>360</v>
      </c>
      <c r="K131" s="66">
        <f>IF(J131="no",0,IF(OR(F131="None",F131="Cheval",F131="Legend",F131="Mystery",F131="Prophecy",F131="TsukumoGami"),0,IF(F131="Varies","V",IF(AND(G131=0,CharacterSheet!$R$36="No"),0,IF(AND(G131=0,CharacterSheet!$R$36="Yes"),LOOKUP(D131,Reference!$N$2:$N$10,Reference!$O$2:$O$10),IF(G131&gt;0,LOOKUP(D131,Reference!$N$2:$N$10,Reference!$P$2:$P$10),"ERROR"))))))</f>
        <v>0</v>
      </c>
      <c r="L131" s="66" t="s">
        <v>361</v>
      </c>
      <c r="M131" s="66">
        <f>IF(E131="V","V",IF(J131="Yes",K131,0)+IF(L131="Yes",CharacterSheet!D221,0))</f>
        <v>0</v>
      </c>
      <c r="N131" s="66" t="s">
        <v>1649</v>
      </c>
      <c r="O131" s="66" t="s">
        <v>1616</v>
      </c>
      <c r="P131" s="66" t="s">
        <v>5</v>
      </c>
      <c r="Q131" s="188">
        <v>87</v>
      </c>
    </row>
    <row r="132" spans="1:17" x14ac:dyDescent="0.25">
      <c r="A132" s="86" t="s">
        <v>1183</v>
      </c>
      <c r="B132" s="39" t="s">
        <v>370</v>
      </c>
      <c r="C132" s="39">
        <v>5</v>
      </c>
      <c r="D132" s="66" t="s">
        <v>508</v>
      </c>
      <c r="E132" s="66" t="str">
        <f>LOOKUP(D132,Reference!$B$33:$B$46,Reference!$C$33:$C$46)</f>
        <v>None</v>
      </c>
      <c r="F132" s="66" t="s">
        <v>508</v>
      </c>
      <c r="G132" s="66" t="str">
        <f>LOOKUP(F132,Reference!$D$32:$D$55,Reference!$E$32:$E$55)</f>
        <v>None</v>
      </c>
      <c r="H132" s="66" t="s">
        <v>361</v>
      </c>
      <c r="I132" s="57" t="str">
        <f>IF(OR(E132="V",G132="V"),"V",IF(AND(E132="None",G132="None"),"None",(IF(E132="None",0,E132)+IF(G132="None",0,G132)+IF(H132="Yes",CharacterSheet!$V$34,0))))</f>
        <v>None</v>
      </c>
      <c r="J132" s="57" t="s">
        <v>361</v>
      </c>
      <c r="K132" s="66">
        <f>IF(J132="no",0,IF(OR(F132="None",F132="Cheval",F132="Legend",F132="Mystery",F132="Prophecy",F132="TsukumoGami"),0,IF(F132="Varies","V",IF(AND(G132=0,CharacterSheet!$R$36="No"),0,IF(AND(G132=0,CharacterSheet!$R$36="Yes"),LOOKUP(D132,Reference!$N$2:$N$10,Reference!$O$2:$O$10),IF(G132&gt;0,LOOKUP(D132,Reference!$N$2:$N$10,Reference!$P$2:$P$10),"ERROR"))))))</f>
        <v>0</v>
      </c>
      <c r="L132" s="66" t="s">
        <v>361</v>
      </c>
      <c r="M132" s="66">
        <f>IF(E132="V","V",IF(J132="Yes",K132,0)+IF(L132="Yes",CharacterSheet!D50,0))</f>
        <v>0</v>
      </c>
      <c r="N132" s="66" t="s">
        <v>1072</v>
      </c>
      <c r="O132" s="66" t="s">
        <v>508</v>
      </c>
      <c r="P132" s="66" t="s">
        <v>1067</v>
      </c>
      <c r="Q132" s="188">
        <v>75</v>
      </c>
    </row>
    <row r="133" spans="1:17" x14ac:dyDescent="0.25">
      <c r="A133" s="86" t="s">
        <v>1100</v>
      </c>
      <c r="B133" s="39" t="s">
        <v>370</v>
      </c>
      <c r="C133" s="39">
        <v>2</v>
      </c>
      <c r="D133" s="66" t="s">
        <v>19</v>
      </c>
      <c r="E133" s="66">
        <f>LOOKUP(D133,Reference!$B$33:$B$46,Reference!$C$33:$C$46)</f>
        <v>1</v>
      </c>
      <c r="F133" s="66" t="s">
        <v>38</v>
      </c>
      <c r="G133" s="66">
        <f>LOOKUP(F133,Reference!$D$32:$D$55,Reference!$E$32:$E$55)</f>
        <v>0</v>
      </c>
      <c r="H133" s="66" t="s">
        <v>361</v>
      </c>
      <c r="I133" s="57">
        <f>IF(OR(E133="V",G133="V"),"V",IF(AND(E133="None",G133="None"),"None",(IF(E133="None",0,E133)+IF(G133="None",0,G133)+IF(H133="Yes",CharacterSheet!$V$34,0))))</f>
        <v>1</v>
      </c>
      <c r="J133" s="57" t="s">
        <v>360</v>
      </c>
      <c r="K133" s="66">
        <f>IF(J133="no",0,IF(OR(F133="None",F133="Cheval",F133="Legend",F133="Mystery",F133="Prophecy",F133="TsukumoGami"),0,IF(F133="Varies","V",IF(AND(G133=0,CharacterSheet!$R$36="No"),0,IF(AND(G133=0,CharacterSheet!$R$36="Yes"),LOOKUP(D133,Reference!$N$2:$N$10,Reference!$O$2:$O$10),IF(G133&gt;0,LOOKUP(D133,Reference!$N$2:$N$10,Reference!$P$2:$P$10),"ERROR"))))))</f>
        <v>0</v>
      </c>
      <c r="L133" s="66" t="s">
        <v>361</v>
      </c>
      <c r="M133" s="66">
        <f>IF(E133="V","V",IF(J133="Yes",K133,0)+IF(L133="Yes",CharacterSheet!D244,0))</f>
        <v>0</v>
      </c>
      <c r="N133" s="66" t="s">
        <v>508</v>
      </c>
      <c r="O133" s="66" t="s">
        <v>1550</v>
      </c>
      <c r="P133" s="66" t="s">
        <v>141</v>
      </c>
      <c r="Q133" s="188">
        <v>141</v>
      </c>
    </row>
    <row r="134" spans="1:17" x14ac:dyDescent="0.25">
      <c r="A134" s="86" t="s">
        <v>1276</v>
      </c>
      <c r="B134" s="39" t="s">
        <v>368</v>
      </c>
      <c r="C134" s="39">
        <v>10</v>
      </c>
      <c r="D134" s="66" t="s">
        <v>30</v>
      </c>
      <c r="E134" s="66">
        <f>LOOKUP(D134,Reference!$B$33:$B$46,Reference!$C$33:$C$46)</f>
        <v>1</v>
      </c>
      <c r="F134" s="66" t="s">
        <v>508</v>
      </c>
      <c r="G134" s="66" t="str">
        <f>LOOKUP(F134,Reference!$D$32:$D$55,Reference!$E$32:$E$55)</f>
        <v>None</v>
      </c>
      <c r="H134" s="66" t="s">
        <v>361</v>
      </c>
      <c r="I134" s="57">
        <f>IF(OR(E134="V",G134="V"),"V",IF(AND(E134="None",G134="None"),"None",(IF(E134="None",0,E134)+IF(G134="None",0,G134)+IF(H134="Yes",CharacterSheet!$V$34,0))))</f>
        <v>1</v>
      </c>
      <c r="J134" s="57" t="s">
        <v>360</v>
      </c>
      <c r="K134" s="66">
        <f>IF(J134="no",0,IF(OR(F134="None",F134="Cheval",F134="Legend",F134="Mystery",F134="Prophecy",F134="TsukumoGami"),0,IF(F134="Varies","V",IF(AND(G134=0,CharacterSheet!$R$36="No"),0,IF(AND(G134=0,CharacterSheet!$R$36="Yes"),LOOKUP(D134,Reference!$N$2:$N$10,Reference!$O$2:$O$10),IF(G134&gt;0,LOOKUP(D134,Reference!$N$2:$N$10,Reference!$P$2:$P$10),"ERROR"))))))</f>
        <v>0</v>
      </c>
      <c r="L134" s="66" t="s">
        <v>361</v>
      </c>
      <c r="M134" s="66">
        <f>IF(E134="V","V",IF(J134="Yes",K134,0)+IF(L134="Yes",CharacterSheet!D281,0))</f>
        <v>0</v>
      </c>
      <c r="N134" s="66" t="s">
        <v>1661</v>
      </c>
      <c r="O134" s="66" t="s">
        <v>30</v>
      </c>
      <c r="P134" s="66" t="s">
        <v>5</v>
      </c>
      <c r="Q134" s="188">
        <v>85</v>
      </c>
    </row>
    <row r="135" spans="1:17" x14ac:dyDescent="0.25">
      <c r="A135" s="86" t="s">
        <v>1207</v>
      </c>
      <c r="B135" s="39" t="s">
        <v>375</v>
      </c>
      <c r="C135" s="39">
        <v>5</v>
      </c>
      <c r="D135" s="66" t="s">
        <v>18</v>
      </c>
      <c r="E135" s="66">
        <f>LOOKUP(D135,Reference!$B$33:$B$46,Reference!$C$33:$C$46)</f>
        <v>1</v>
      </c>
      <c r="F135" s="66" t="s">
        <v>51</v>
      </c>
      <c r="G135" s="66">
        <f>LOOKUP(F135,Reference!$D$32:$D$55,Reference!$E$32:$E$55)</f>
        <v>0</v>
      </c>
      <c r="H135" s="66" t="s">
        <v>361</v>
      </c>
      <c r="I135" s="57">
        <f>IF(OR(E135="V",G135="V"),"V",IF(AND(E135="None",G135="None"),"None",(IF(E135="None",0,E135)+IF(G135="None",0,G135)+IF(H135="Yes",CharacterSheet!$V$34,0))))</f>
        <v>1</v>
      </c>
      <c r="J135" s="57" t="s">
        <v>360</v>
      </c>
      <c r="K135" s="66">
        <f>IF(J135="no",0,IF(OR(F135="None",F135="Cheval",F135="Legend",F135="Mystery",F135="Prophecy",F135="TsukumoGami"),0,IF(F135="Varies","V",IF(AND(G135=0,CharacterSheet!$R$36="No"),0,IF(AND(G135=0,CharacterSheet!$R$36="Yes"),LOOKUP(D135,Reference!$N$2:$N$10,Reference!$O$2:$O$10),IF(G135&gt;0,LOOKUP(D135,Reference!$N$2:$N$10,Reference!$P$2:$P$10),"ERROR"))))))</f>
        <v>0</v>
      </c>
      <c r="L135" s="66" t="s">
        <v>361</v>
      </c>
      <c r="M135" s="66">
        <f>IF(E135="V","V",IF(J135="Yes",K135,0)+IF(L135="Yes",CharacterSheet!D232,0))</f>
        <v>0</v>
      </c>
      <c r="N135" s="66" t="s">
        <v>1072</v>
      </c>
      <c r="O135" s="66" t="s">
        <v>1558</v>
      </c>
      <c r="P135" s="66" t="s">
        <v>1067</v>
      </c>
      <c r="Q135" s="188">
        <v>83</v>
      </c>
    </row>
    <row r="136" spans="1:17" x14ac:dyDescent="0.25">
      <c r="A136" s="86" t="s">
        <v>1447</v>
      </c>
      <c r="B136" s="39" t="s">
        <v>177</v>
      </c>
      <c r="C136" s="39">
        <v>4</v>
      </c>
      <c r="D136" s="66" t="s">
        <v>21</v>
      </c>
      <c r="E136" s="66">
        <f>LOOKUP(D136,Reference!$B$33:$B$46,Reference!$C$33:$C$46)</f>
        <v>1</v>
      </c>
      <c r="F136" s="66" t="s">
        <v>57</v>
      </c>
      <c r="G136" s="66">
        <f>LOOKUP(F136,Reference!$D$32:$D$55,Reference!$E$32:$E$55)</f>
        <v>0</v>
      </c>
      <c r="H136" s="66" t="s">
        <v>361</v>
      </c>
      <c r="I136" s="57">
        <f>IF(OR(E136="V",G136="V"),"V",IF(AND(E136="None",G136="None"),"None",(IF(E136="None",0,E136)+IF(G136="None",0,G136)+IF(H136="Yes",CharacterSheet!$V$34,0))))</f>
        <v>1</v>
      </c>
      <c r="J136" s="57" t="s">
        <v>360</v>
      </c>
      <c r="K136" s="66">
        <f>IF(J136="no",0,IF(OR(F136="None",F136="Cheval",F136="Legend",F136="Mystery",F136="Prophecy",F136="TsukumoGami"),0,IF(F136="Varies","V",IF(AND(G136=0,CharacterSheet!$R$36="No"),0,IF(AND(G136=0,CharacterSheet!$R$36="Yes"),LOOKUP(D136,Reference!$N$2:$N$10,Reference!$O$2:$O$10),IF(G136&gt;0,LOOKUP(D136,Reference!$N$2:$N$10,Reference!$P$2:$P$10),"ERROR"))))))</f>
        <v>0</v>
      </c>
      <c r="L136" s="66" t="s">
        <v>361</v>
      </c>
      <c r="M136" s="66">
        <f>IF(E136="V","V",IF(J136="Yes",K136,0)+IF(L136="Yes",CharacterSheet!D53,0))</f>
        <v>0</v>
      </c>
      <c r="N136" s="66" t="s">
        <v>1718</v>
      </c>
      <c r="O136" s="66" t="s">
        <v>1679</v>
      </c>
      <c r="P136" s="66" t="s">
        <v>1068</v>
      </c>
      <c r="Q136" s="188">
        <v>97</v>
      </c>
    </row>
    <row r="137" spans="1:17" x14ac:dyDescent="0.25">
      <c r="A137" s="86" t="s">
        <v>1343</v>
      </c>
      <c r="B137" s="39" t="s">
        <v>163</v>
      </c>
      <c r="C137" s="39">
        <v>10</v>
      </c>
      <c r="D137" s="66" t="s">
        <v>508</v>
      </c>
      <c r="E137" s="66" t="str">
        <f>LOOKUP(D137,Reference!$B$33:$B$46,Reference!$C$33:$C$46)</f>
        <v>None</v>
      </c>
      <c r="F137" s="66" t="s">
        <v>508</v>
      </c>
      <c r="G137" s="66" t="str">
        <f>LOOKUP(F137,Reference!$D$32:$D$55,Reference!$E$32:$E$55)</f>
        <v>None</v>
      </c>
      <c r="H137" s="66" t="s">
        <v>361</v>
      </c>
      <c r="I137" s="57" t="str">
        <f>IF(OR(E137="V",G137="V"),"V",IF(AND(E137="None",G137="None"),"None",(IF(E137="None",0,E137)+IF(G137="None",0,G137)+IF(H137="Yes",CharacterSheet!$V$34,0))))</f>
        <v>None</v>
      </c>
      <c r="J137" s="57" t="s">
        <v>361</v>
      </c>
      <c r="K137" s="66">
        <f>IF(J137="no",0,IF(OR(F137="None",F137="Cheval",F137="Legend",F137="Mystery",F137="Prophecy",F137="TsukumoGami"),0,IF(F137="Varies","V",IF(AND(G137=0,CharacterSheet!$R$36="No"),0,IF(AND(G137=0,CharacterSheet!$R$36="Yes"),LOOKUP(D137,Reference!$N$2:$N$10,Reference!$O$2:$O$10),IF(G137&gt;0,LOOKUP(D137,Reference!$N$2:$N$10,Reference!$P$2:$P$10),"ERROR"))))))</f>
        <v>0</v>
      </c>
      <c r="L137" s="66" t="s">
        <v>361</v>
      </c>
      <c r="M137" s="66">
        <f>IF(E137="V","V",IF(J137="Yes",K137,0)+IF(L137="Yes",CharacterSheet!D183,0))</f>
        <v>0</v>
      </c>
      <c r="N137" s="66" t="s">
        <v>1674</v>
      </c>
      <c r="O137" s="66" t="s">
        <v>508</v>
      </c>
      <c r="P137" s="66" t="s">
        <v>5</v>
      </c>
      <c r="Q137" s="188">
        <v>108</v>
      </c>
    </row>
    <row r="138" spans="1:17" x14ac:dyDescent="0.25">
      <c r="A138" s="86" t="s">
        <v>1288</v>
      </c>
      <c r="B138" s="39" t="s">
        <v>371</v>
      </c>
      <c r="C138" s="39">
        <v>10</v>
      </c>
      <c r="D138" s="66" t="s">
        <v>20</v>
      </c>
      <c r="E138" s="66">
        <f>LOOKUP(D138,Reference!$B$33:$B$46,Reference!$C$33:$C$46)</f>
        <v>1</v>
      </c>
      <c r="F138" s="66" t="s">
        <v>53</v>
      </c>
      <c r="G138" s="66">
        <f>LOOKUP(F138,Reference!$D$32:$D$55,Reference!$E$32:$E$55)</f>
        <v>0</v>
      </c>
      <c r="H138" s="66" t="s">
        <v>361</v>
      </c>
      <c r="I138" s="57">
        <f>IF(OR(E138="V",G138="V"),"V",IF(AND(E138="None",G138="None"),"None",(IF(E138="None",0,E138)+IF(G138="None",0,G138)+IF(H138="Yes",CharacterSheet!$V$34,0))))</f>
        <v>1</v>
      </c>
      <c r="J138" s="57" t="s">
        <v>360</v>
      </c>
      <c r="K138" s="66">
        <f>IF(J138="no",0,IF(OR(F138="None",F138="Cheval",F138="Legend",F138="Mystery",F138="Prophecy",F138="TsukumoGami"),0,IF(F138="Varies","V",IF(AND(G138=0,CharacterSheet!$R$36="No"),0,IF(AND(G138=0,CharacterSheet!$R$36="Yes"),LOOKUP(D138,Reference!$N$2:$N$10,Reference!$O$2:$O$10),IF(G138&gt;0,LOOKUP(D138,Reference!$N$2:$N$10,Reference!$P$2:$P$10),"ERROR"))))))</f>
        <v>0</v>
      </c>
      <c r="L138" s="66" t="s">
        <v>361</v>
      </c>
      <c r="M138" s="66">
        <f>IF(E138="V","V",IF(J138="Yes",K138,0)+IF(L138="Yes",CharacterSheet!D227,0))</f>
        <v>0</v>
      </c>
      <c r="N138" s="66" t="s">
        <v>1652</v>
      </c>
      <c r="O138" s="66" t="s">
        <v>1605</v>
      </c>
      <c r="P138" s="66" t="s">
        <v>5</v>
      </c>
      <c r="Q138" s="188">
        <v>88</v>
      </c>
    </row>
    <row r="139" spans="1:17" x14ac:dyDescent="0.25">
      <c r="A139" s="86" t="s">
        <v>1248</v>
      </c>
      <c r="B139" s="39" t="s">
        <v>163</v>
      </c>
      <c r="C139" s="39">
        <v>6</v>
      </c>
      <c r="D139" s="66" t="s">
        <v>508</v>
      </c>
      <c r="E139" s="66" t="str">
        <f>LOOKUP(D139,Reference!$B$33:$B$46,Reference!$C$33:$C$46)</f>
        <v>None</v>
      </c>
      <c r="F139" s="66" t="s">
        <v>508</v>
      </c>
      <c r="G139" s="66" t="str">
        <f>LOOKUP(F139,Reference!$D$32:$D$55,Reference!$E$32:$E$55)</f>
        <v>None</v>
      </c>
      <c r="H139" s="66" t="s">
        <v>361</v>
      </c>
      <c r="I139" s="57" t="str">
        <f>IF(OR(E139="V",G139="V"),"V",IF(AND(E139="None",G139="None"),"None",(IF(E139="None",0,E139)+IF(G139="None",0,G139)+IF(H139="Yes",CharacterSheet!$V$34,0))))</f>
        <v>None</v>
      </c>
      <c r="J139" s="57" t="s">
        <v>361</v>
      </c>
      <c r="K139" s="66">
        <f>IF(J139="no",0,IF(OR(F139="None",F139="Cheval",F139="Legend",F139="Mystery",F139="Prophecy",F139="TsukumoGami"),0,IF(F139="Varies","V",IF(AND(G139=0,CharacterSheet!$R$36="No"),0,IF(AND(G139=0,CharacterSheet!$R$36="Yes"),LOOKUP(D139,Reference!$N$2:$N$10,Reference!$O$2:$O$10),IF(G139&gt;0,LOOKUP(D139,Reference!$N$2:$N$10,Reference!$P$2:$P$10),"ERROR"))))))</f>
        <v>0</v>
      </c>
      <c r="L139" s="66" t="s">
        <v>361</v>
      </c>
      <c r="M139" s="66">
        <f>IF(E139="V","V",IF(J139="Yes",K139,0)+IF(L139="Yes",CharacterSheet!D60,0))</f>
        <v>0</v>
      </c>
      <c r="N139" s="66" t="s">
        <v>1598</v>
      </c>
      <c r="O139" s="66" t="s">
        <v>508</v>
      </c>
      <c r="P139" s="66" t="s">
        <v>1067</v>
      </c>
      <c r="Q139" s="188">
        <v>95</v>
      </c>
    </row>
    <row r="140" spans="1:17" x14ac:dyDescent="0.25">
      <c r="A140" s="86" t="s">
        <v>1266</v>
      </c>
      <c r="B140" s="39" t="s">
        <v>366</v>
      </c>
      <c r="C140" s="39">
        <v>8</v>
      </c>
      <c r="D140" s="66" t="s">
        <v>20</v>
      </c>
      <c r="E140" s="66">
        <f>LOOKUP(D140,Reference!$B$33:$B$46,Reference!$C$33:$C$46)</f>
        <v>1</v>
      </c>
      <c r="F140" s="66" t="s">
        <v>36</v>
      </c>
      <c r="G140" s="66">
        <f>LOOKUP(F140,Reference!$D$32:$D$55,Reference!$E$32:$E$55)</f>
        <v>0</v>
      </c>
      <c r="H140" s="66" t="s">
        <v>361</v>
      </c>
      <c r="I140" s="57">
        <f>IF(OR(E140="V",G140="V"),"V",IF(AND(E140="None",G140="None"),"None",(IF(E140="None",0,E140)+IF(G140="None",0,G140)+IF(H140="Yes",CharacterSheet!$V$34,0))))</f>
        <v>1</v>
      </c>
      <c r="J140" s="57" t="s">
        <v>360</v>
      </c>
      <c r="K140" s="66">
        <f>IF(J140="no",0,IF(OR(F140="None",F140="Cheval",F140="Legend",F140="Mystery",F140="Prophecy",F140="TsukumoGami"),0,IF(F140="Varies","V",IF(AND(G140=0,CharacterSheet!$R$36="No"),0,IF(AND(G140=0,CharacterSheet!$R$36="Yes"),LOOKUP(D140,Reference!$N$2:$N$10,Reference!$O$2:$O$10),IF(G140&gt;0,LOOKUP(D140,Reference!$N$2:$N$10,Reference!$P$2:$P$10),"ERROR"))))))</f>
        <v>0</v>
      </c>
      <c r="L140" s="66" t="s">
        <v>361</v>
      </c>
      <c r="M140" s="66">
        <f>IF(E140="V","V",IF(J140="Yes",K140,0)+IF(L140="Yes",CharacterSheet!D387,0))</f>
        <v>0</v>
      </c>
      <c r="N140" s="66" t="s">
        <v>1762</v>
      </c>
      <c r="O140" s="66" t="s">
        <v>1539</v>
      </c>
      <c r="P140" s="66" t="s">
        <v>5</v>
      </c>
      <c r="Q140" s="188">
        <v>81</v>
      </c>
    </row>
    <row r="141" spans="1:17" x14ac:dyDescent="0.25">
      <c r="A141" s="86" t="s">
        <v>1286</v>
      </c>
      <c r="B141" s="39" t="s">
        <v>371</v>
      </c>
      <c r="C141" s="39">
        <v>8</v>
      </c>
      <c r="D141" s="66" t="s">
        <v>14</v>
      </c>
      <c r="E141" s="66">
        <f>LOOKUP(D141,Reference!$B$33:$B$46,Reference!$C$33:$C$46)</f>
        <v>1</v>
      </c>
      <c r="F141" s="66" t="s">
        <v>53</v>
      </c>
      <c r="G141" s="66">
        <f>LOOKUP(F141,Reference!$D$32:$D$55,Reference!$E$32:$E$55)</f>
        <v>0</v>
      </c>
      <c r="H141" s="66" t="s">
        <v>361</v>
      </c>
      <c r="I141" s="57">
        <f>IF(OR(E141="V",G141="V"),"V",IF(AND(E141="None",G141="None"),"None",(IF(E141="None",0,E141)+IF(G141="None",0,G141)+IF(H141="Yes",CharacterSheet!$V$34,0))))</f>
        <v>1</v>
      </c>
      <c r="J141" s="57" t="s">
        <v>360</v>
      </c>
      <c r="K141" s="66">
        <f>IF(J141="no",0,IF(OR(F141="None",F141="Cheval",F141="Legend",F141="Mystery",F141="Prophecy",F141="TsukumoGami"),0,IF(F141="Varies","V",IF(AND(G141=0,CharacterSheet!$R$36="No"),0,IF(AND(G141=0,CharacterSheet!$R$36="Yes"),LOOKUP(D141,Reference!$N$2:$N$10,Reference!$O$2:$O$10),IF(G141&gt;0,LOOKUP(D141,Reference!$N$2:$N$10,Reference!$P$2:$P$10),"ERROR"))))))</f>
        <v>0</v>
      </c>
      <c r="L141" s="66" t="s">
        <v>361</v>
      </c>
      <c r="M141" s="66">
        <f>IF(E141="V","V",IF(J141="Yes",K141,0)+IF(L141="Yes",CharacterSheet!D225,0))</f>
        <v>0</v>
      </c>
      <c r="N141" s="66" t="s">
        <v>1651</v>
      </c>
      <c r="O141" s="66" t="s">
        <v>1552</v>
      </c>
      <c r="P141" s="66" t="s">
        <v>5</v>
      </c>
      <c r="Q141" s="188">
        <v>88</v>
      </c>
    </row>
    <row r="142" spans="1:17" x14ac:dyDescent="0.25">
      <c r="A142" s="86" t="s">
        <v>1097</v>
      </c>
      <c r="B142" s="39" t="s">
        <v>369</v>
      </c>
      <c r="C142" s="39">
        <v>2</v>
      </c>
      <c r="D142" s="66" t="s">
        <v>19</v>
      </c>
      <c r="E142" s="66">
        <f>LOOKUP(D142,Reference!$B$33:$B$46,Reference!$C$33:$C$46)</f>
        <v>1</v>
      </c>
      <c r="F142" s="66" t="s">
        <v>41</v>
      </c>
      <c r="G142" s="66">
        <f>LOOKUP(F142,Reference!$D$32:$D$55,Reference!$E$32:$E$55)</f>
        <v>0</v>
      </c>
      <c r="H142" s="66" t="s">
        <v>361</v>
      </c>
      <c r="I142" s="57">
        <f>IF(OR(E142="V",G142="V"),"V",IF(AND(E142="None",G142="None"),"None",(IF(E142="None",0,E142)+IF(G142="None",0,G142)+IF(H142="Yes",CharacterSheet!$V$34,0))))</f>
        <v>1</v>
      </c>
      <c r="J142" s="57" t="s">
        <v>360</v>
      </c>
      <c r="K142" s="66">
        <f>IF(J142="no",0,IF(OR(F142="None",F142="Cheval",F142="Legend",F142="Mystery",F142="Prophecy",F142="TsukumoGami"),0,IF(F142="Varies","V",IF(AND(G142=0,CharacterSheet!$R$36="No"),0,IF(AND(G142=0,CharacterSheet!$R$36="Yes"),LOOKUP(D142,Reference!$N$2:$N$10,Reference!$O$2:$O$10),IF(G142&gt;0,LOOKUP(D142,Reference!$N$2:$N$10,Reference!$P$2:$P$10),"ERROR"))))))</f>
        <v>0</v>
      </c>
      <c r="L142" s="66" t="s">
        <v>361</v>
      </c>
      <c r="M142" s="66">
        <f>IF(E142="V","V",IF(J142="Yes",K142,0)+IF(L142="Yes",CharacterSheet!D96,0))</f>
        <v>0</v>
      </c>
      <c r="N142" s="66" t="s">
        <v>1072</v>
      </c>
      <c r="O142" s="66" t="s">
        <v>1548</v>
      </c>
      <c r="P142" s="66" t="s">
        <v>141</v>
      </c>
      <c r="Q142" s="188">
        <v>141</v>
      </c>
    </row>
    <row r="143" spans="1:17" x14ac:dyDescent="0.25">
      <c r="A143" s="86" t="s">
        <v>1156</v>
      </c>
      <c r="B143" s="39" t="s">
        <v>385</v>
      </c>
      <c r="C143" s="39">
        <v>2</v>
      </c>
      <c r="D143" s="66" t="s">
        <v>17</v>
      </c>
      <c r="E143" s="66">
        <f>LOOKUP(D143,Reference!$B$33:$B$46,Reference!$C$33:$C$46)</f>
        <v>1</v>
      </c>
      <c r="F143" s="66" t="s">
        <v>51</v>
      </c>
      <c r="G143" s="66">
        <f>LOOKUP(F143,Reference!$D$32:$D$55,Reference!$E$32:$E$55)</f>
        <v>0</v>
      </c>
      <c r="H143" s="66" t="s">
        <v>361</v>
      </c>
      <c r="I143" s="57">
        <f>IF(OR(E143="V",G143="V"),"V",IF(AND(E143="None",G143="None"),"None",(IF(E143="None",0,E143)+IF(G143="None",0,G143)+IF(H143="Yes",CharacterSheet!$V$34,0))))</f>
        <v>1</v>
      </c>
      <c r="J143" s="57" t="s">
        <v>360</v>
      </c>
      <c r="K143" s="66">
        <f>IF(J143="no",0,IF(OR(F143="None",F143="Cheval",F143="Legend",F143="Mystery",F143="Prophecy",F143="TsukumoGami"),0,IF(F143="Varies","V",IF(AND(G143=0,CharacterSheet!$R$36="No"),0,IF(AND(G143=0,CharacterSheet!$R$36="Yes"),LOOKUP(D143,Reference!$N$2:$N$10,Reference!$O$2:$O$10),IF(G143&gt;0,LOOKUP(D143,Reference!$N$2:$N$10,Reference!$P$2:$P$10),"ERROR"))))))</f>
        <v>0</v>
      </c>
      <c r="L143" s="66" t="s">
        <v>361</v>
      </c>
      <c r="M143" s="66">
        <f>IF(E143="V","V",IF(J143="Yes",K143,0)+IF(L143="Yes",CharacterSheet!D260,0))</f>
        <v>0</v>
      </c>
      <c r="N143" s="66" t="s">
        <v>1072</v>
      </c>
      <c r="O143" s="66" t="s">
        <v>1576</v>
      </c>
      <c r="P143" s="66" t="s">
        <v>141</v>
      </c>
      <c r="Q143" s="188">
        <v>154</v>
      </c>
    </row>
    <row r="144" spans="1:17" x14ac:dyDescent="0.25">
      <c r="A144" s="86" t="s">
        <v>1180</v>
      </c>
      <c r="B144" s="39" t="s">
        <v>369</v>
      </c>
      <c r="C144" s="39">
        <v>6</v>
      </c>
      <c r="D144" s="66" t="s">
        <v>16</v>
      </c>
      <c r="E144" s="66">
        <f>LOOKUP(D144,Reference!$B$33:$B$46,Reference!$C$33:$C$46)</f>
        <v>1</v>
      </c>
      <c r="F144" s="66" t="s">
        <v>49</v>
      </c>
      <c r="G144" s="66">
        <f>LOOKUP(F144,Reference!$D$32:$D$55,Reference!$E$32:$E$55)</f>
        <v>0</v>
      </c>
      <c r="H144" s="66" t="s">
        <v>361</v>
      </c>
      <c r="I144" s="57">
        <f>IF(OR(E144="V",G144="V"),"V",IF(AND(E144="None",G144="None"),"None",(IF(E144="None",0,E144)+IF(G144="None",0,G144)+IF(H144="Yes",CharacterSheet!$V$34,0))))</f>
        <v>1</v>
      </c>
      <c r="J144" s="57" t="s">
        <v>360</v>
      </c>
      <c r="K144" s="66">
        <f>IF(J144="no",0,IF(OR(F144="None",F144="Cheval",F144="Legend",F144="Mystery",F144="Prophecy",F144="TsukumoGami"),0,IF(F144="Varies","V",IF(AND(G144=0,CharacterSheet!$R$36="No"),0,IF(AND(G144=0,CharacterSheet!$R$36="Yes"),LOOKUP(D144,Reference!$N$2:$N$10,Reference!$O$2:$O$10),IF(G144&gt;0,LOOKUP(D144,Reference!$N$2:$N$10,Reference!$P$2:$P$10),"ERROR"))))))</f>
        <v>0</v>
      </c>
      <c r="L144" s="66" t="s">
        <v>361</v>
      </c>
      <c r="M144" s="66">
        <f>IF(E144="V","V",IF(J144="Yes",K144,0)+IF(L144="Yes",CharacterSheet!#REF!,0))</f>
        <v>0</v>
      </c>
      <c r="N144" s="66" t="s">
        <v>1624</v>
      </c>
      <c r="O144" s="66" t="s">
        <v>1572</v>
      </c>
      <c r="P144" s="66" t="s">
        <v>1067</v>
      </c>
      <c r="Q144" s="188">
        <v>74</v>
      </c>
    </row>
    <row r="145" spans="1:17" x14ac:dyDescent="0.25">
      <c r="A145" s="86" t="s">
        <v>1090</v>
      </c>
      <c r="B145" s="39" t="s">
        <v>367</v>
      </c>
      <c r="C145" s="39">
        <v>1</v>
      </c>
      <c r="D145" s="66" t="s">
        <v>508</v>
      </c>
      <c r="E145" s="66" t="str">
        <f>LOOKUP(D145,Reference!$B$33:$B$46,Reference!$C$33:$C$46)</f>
        <v>None</v>
      </c>
      <c r="F145" s="66" t="s">
        <v>508</v>
      </c>
      <c r="G145" s="66" t="str">
        <f>LOOKUP(F145,Reference!$D$32:$D$55,Reference!$E$32:$E$55)</f>
        <v>None</v>
      </c>
      <c r="H145" s="66" t="s">
        <v>361</v>
      </c>
      <c r="I145" s="57" t="str">
        <f>IF(OR(E145="V",G145="V"),"V",IF(AND(E145="None",G145="None"),"None",(IF(E145="None",0,E145)+IF(G145="None",0,G145)+IF(H145="Yes",CharacterSheet!$V$34,0))))</f>
        <v>None</v>
      </c>
      <c r="J145" s="57" t="s">
        <v>361</v>
      </c>
      <c r="K145" s="66">
        <f>IF(J145="no",0,IF(OR(F145="None",F145="Cheval",F145="Legend",F145="Mystery",F145="Prophecy",F145="TsukumoGami"),0,IF(F145="Varies","V",IF(AND(G145=0,CharacterSheet!$R$36="No"),0,IF(AND(G145=0,CharacterSheet!$R$36="Yes"),LOOKUP(D145,Reference!$N$2:$N$10,Reference!$O$2:$O$10),IF(G145&gt;0,LOOKUP(D145,Reference!$N$2:$N$10,Reference!$P$2:$P$10),"ERROR"))))))</f>
        <v>0</v>
      </c>
      <c r="L145" s="66" t="s">
        <v>361</v>
      </c>
      <c r="M145" s="66">
        <f>IF(E145="V","V",IF(J145="Yes",K145,0)+IF(L145="Yes",CharacterSheet!D248,0))</f>
        <v>0</v>
      </c>
      <c r="N145" s="66" t="s">
        <v>1543</v>
      </c>
      <c r="O145" s="66" t="s">
        <v>508</v>
      </c>
      <c r="P145" s="66" t="s">
        <v>141</v>
      </c>
      <c r="Q145" s="188">
        <v>140</v>
      </c>
    </row>
    <row r="146" spans="1:17" x14ac:dyDescent="0.25">
      <c r="A146" s="87" t="s">
        <v>1530</v>
      </c>
      <c r="B146" s="66" t="s">
        <v>703</v>
      </c>
      <c r="C146" s="39">
        <v>9</v>
      </c>
      <c r="D146" s="66" t="s">
        <v>21</v>
      </c>
      <c r="E146" s="66">
        <f>LOOKUP(D146,Reference!$B$33:$B$46,Reference!$C$33:$C$46)</f>
        <v>1</v>
      </c>
      <c r="F146" s="66" t="s">
        <v>51</v>
      </c>
      <c r="G146" s="66">
        <f>LOOKUP(F146,Reference!$D$32:$D$55,Reference!$E$32:$E$55)</f>
        <v>0</v>
      </c>
      <c r="H146" s="66" t="s">
        <v>361</v>
      </c>
      <c r="I146" s="57">
        <f>IF(OR(E146="V",G146="V"),"V",IF(AND(E146="None",G146="None"),"None",(IF(E146="None",0,E146)+IF(G146="None",0,G146)+IF(H146="Yes",CharacterSheet!$V$34,0))))</f>
        <v>1</v>
      </c>
      <c r="J146" s="57" t="s">
        <v>360</v>
      </c>
      <c r="K146" s="66">
        <f>IF(J146="no",0,IF(OR(F146="None",F146="Cheval",F146="Legend",F146="Mystery",F146="Prophecy",F146="TsukumoGami"),0,IF(F146="Varies","V",IF(AND(G146=0,CharacterSheet!$R$36="No"),0,IF(AND(G146=0,CharacterSheet!$R$36="Yes"),LOOKUP(D146,Reference!$N$2:$N$10,Reference!$O$2:$O$10),IF(G146&gt;0,LOOKUP(D146,Reference!$N$2:$N$10,Reference!$P$2:$P$10),"ERROR"))))))</f>
        <v>0</v>
      </c>
      <c r="L146" s="66" t="s">
        <v>361</v>
      </c>
      <c r="M146" s="66">
        <f>IF(E146="V","V",IF(J146="Yes",K146,0)+IF(L146="Yes",CharacterSheet!D358,0))</f>
        <v>0</v>
      </c>
      <c r="N146" s="66" t="s">
        <v>1074</v>
      </c>
      <c r="O146" s="66" t="s">
        <v>1577</v>
      </c>
      <c r="P146" s="66" t="s">
        <v>1507</v>
      </c>
      <c r="Q146" s="188">
        <v>43</v>
      </c>
    </row>
    <row r="147" spans="1:17" x14ac:dyDescent="0.25">
      <c r="A147" s="86" t="s">
        <v>1340</v>
      </c>
      <c r="B147" s="39" t="s">
        <v>174</v>
      </c>
      <c r="C147" s="39">
        <v>10</v>
      </c>
      <c r="D147" s="66" t="s">
        <v>175</v>
      </c>
      <c r="E147" s="66">
        <f>LOOKUP(D147,Reference!$B$33:$B$46,Reference!$C$33:$C$46)</f>
        <v>0</v>
      </c>
      <c r="F147" s="66" t="s">
        <v>508</v>
      </c>
      <c r="G147" s="66" t="str">
        <f>LOOKUP(F147,Reference!$D$32:$D$55,Reference!$E$32:$E$55)</f>
        <v>None</v>
      </c>
      <c r="H147" s="66" t="s">
        <v>361</v>
      </c>
      <c r="I147" s="57">
        <f>IF(OR(E147="V",G147="V"),"V",IF(AND(E147="None",G147="None"),"None",(IF(E147="None",0,E147)+IF(G147="None",0,G147)+IF(H147="Yes",CharacterSheet!$V$34,0))))</f>
        <v>0</v>
      </c>
      <c r="J147" s="57" t="s">
        <v>361</v>
      </c>
      <c r="K147" s="66">
        <f>IF(J147="no",0,IF(OR(F147="None",F147="Cheval",F147="Legend",F147="Mystery",F147="Prophecy",F147="TsukumoGami"),0,IF(F147="Varies","V",IF(AND(G147=0,CharacterSheet!$R$36="No"),0,IF(AND(G147=0,CharacterSheet!$R$36="Yes"),LOOKUP(D147,Reference!$N$2:$N$10,Reference!$O$2:$O$10),IF(G147&gt;0,LOOKUP(D147,Reference!$N$2:$N$10,Reference!$P$2:$P$10),"ERROR"))))))</f>
        <v>0</v>
      </c>
      <c r="L147" s="66" t="s">
        <v>361</v>
      </c>
      <c r="M147" s="66">
        <f>IF(E147="V","V",IF(J147="Yes",K147,0)+IF(L147="Yes",CharacterSheet!D100,0))</f>
        <v>0</v>
      </c>
      <c r="N147" s="66" t="s">
        <v>1624</v>
      </c>
      <c r="O147" s="66" t="s">
        <v>175</v>
      </c>
      <c r="P147" s="66" t="s">
        <v>5</v>
      </c>
      <c r="Q147" s="188">
        <v>107</v>
      </c>
    </row>
    <row r="148" spans="1:17" x14ac:dyDescent="0.25">
      <c r="A148" s="87" t="s">
        <v>1527</v>
      </c>
      <c r="B148" s="66" t="s">
        <v>703</v>
      </c>
      <c r="C148" s="39">
        <v>6</v>
      </c>
      <c r="D148" s="66" t="s">
        <v>17</v>
      </c>
      <c r="E148" s="66">
        <f>LOOKUP(D148,Reference!$B$33:$B$46,Reference!$C$33:$C$46)</f>
        <v>1</v>
      </c>
      <c r="F148" s="66" t="s">
        <v>53</v>
      </c>
      <c r="G148" s="66">
        <f>LOOKUP(F148,Reference!$D$32:$D$55,Reference!$E$32:$E$55)</f>
        <v>0</v>
      </c>
      <c r="H148" s="66" t="s">
        <v>361</v>
      </c>
      <c r="I148" s="57">
        <f>IF(OR(E148="V",G148="V"),"V",IF(AND(E148="None",G148="None"),"None",(IF(E148="None",0,E148)+IF(G148="None",0,G148)+IF(H148="Yes",CharacterSheet!$V$34,0))))</f>
        <v>1</v>
      </c>
      <c r="J148" s="57" t="s">
        <v>360</v>
      </c>
      <c r="K148" s="66">
        <f>IF(J148="no",0,IF(OR(F148="None",F148="Cheval",F148="Legend",F148="Mystery",F148="Prophecy",F148="TsukumoGami"),0,IF(F148="Varies","V",IF(AND(G148=0,CharacterSheet!$R$36="No"),0,IF(AND(G148=0,CharacterSheet!$R$36="Yes"),LOOKUP(D148,Reference!$N$2:$N$10,Reference!$O$2:$O$10),IF(G148&gt;0,LOOKUP(D148,Reference!$N$2:$N$10,Reference!$P$2:$P$10),"ERROR"))))))</f>
        <v>0</v>
      </c>
      <c r="L148" s="66" t="s">
        <v>361</v>
      </c>
      <c r="M148" s="66">
        <f>IF(E148="V","V",IF(J148="Yes",K148,0)+IF(L148="Yes",CharacterSheet!D117,0))</f>
        <v>0</v>
      </c>
      <c r="N148" s="66" t="s">
        <v>1630</v>
      </c>
      <c r="O148" s="66" t="s">
        <v>1738</v>
      </c>
      <c r="P148" s="66" t="s">
        <v>1507</v>
      </c>
      <c r="Q148" s="188">
        <v>41</v>
      </c>
    </row>
    <row r="149" spans="1:17" x14ac:dyDescent="0.25">
      <c r="A149" s="86" t="s">
        <v>1256</v>
      </c>
      <c r="B149" s="39" t="s">
        <v>385</v>
      </c>
      <c r="C149" s="39">
        <v>6</v>
      </c>
      <c r="D149" s="66" t="s">
        <v>17</v>
      </c>
      <c r="E149" s="66">
        <f>LOOKUP(D149,Reference!$B$33:$B$46,Reference!$C$33:$C$46)</f>
        <v>1</v>
      </c>
      <c r="F149" s="66" t="s">
        <v>41</v>
      </c>
      <c r="G149" s="66">
        <f>LOOKUP(F149,Reference!$D$32:$D$55,Reference!$E$32:$E$55)</f>
        <v>0</v>
      </c>
      <c r="H149" s="66" t="s">
        <v>361</v>
      </c>
      <c r="I149" s="57">
        <f>IF(OR(E149="V",G149="V"),"V",IF(AND(E149="None",G149="None"),"None",(IF(E149="None",0,E149)+IF(G149="None",0,G149)+IF(H149="Yes",CharacterSheet!$V$34,0))))</f>
        <v>1</v>
      </c>
      <c r="J149" s="57" t="s">
        <v>360</v>
      </c>
      <c r="K149" s="66">
        <f>IF(J149="no",0,IF(OR(F149="None",F149="Cheval",F149="Legend",F149="Mystery",F149="Prophecy",F149="TsukumoGami"),0,IF(F149="Varies","V",IF(AND(G149=0,CharacterSheet!$R$36="No"),0,IF(AND(G149=0,CharacterSheet!$R$36="Yes"),LOOKUP(D149,Reference!$N$2:$N$10,Reference!$O$2:$O$10),IF(G149&gt;0,LOOKUP(D149,Reference!$N$2:$N$10,Reference!$P$2:$P$10),"ERROR"))))))</f>
        <v>0</v>
      </c>
      <c r="L149" s="66" t="s">
        <v>361</v>
      </c>
      <c r="M149" s="66">
        <f>IF(E149="V","V",IF(J149="Yes",K149,0)+IF(L149="Yes",CharacterSheet!D91,0))</f>
        <v>0</v>
      </c>
      <c r="N149" s="66" t="s">
        <v>1642</v>
      </c>
      <c r="O149" s="66" t="s">
        <v>1622</v>
      </c>
      <c r="P149" s="66" t="s">
        <v>1067</v>
      </c>
      <c r="Q149" s="188">
        <v>98</v>
      </c>
    </row>
    <row r="150" spans="1:17" x14ac:dyDescent="0.25">
      <c r="A150" s="86" t="s">
        <v>1255</v>
      </c>
      <c r="B150" s="39" t="s">
        <v>385</v>
      </c>
      <c r="C150" s="39">
        <v>5</v>
      </c>
      <c r="D150" s="66" t="s">
        <v>16</v>
      </c>
      <c r="E150" s="66">
        <f>LOOKUP(D150,Reference!$B$33:$B$46,Reference!$C$33:$C$46)</f>
        <v>1</v>
      </c>
      <c r="F150" s="66" t="s">
        <v>40</v>
      </c>
      <c r="G150" s="66">
        <f>LOOKUP(F150,Reference!$D$32:$D$55,Reference!$E$32:$E$55)</f>
        <v>0</v>
      </c>
      <c r="H150" s="66" t="s">
        <v>361</v>
      </c>
      <c r="I150" s="57">
        <f>IF(OR(E150="V",G150="V"),"V",IF(AND(E150="None",G150="None"),"None",(IF(E150="None",0,E150)+IF(G150="None",0,G150)+IF(H150="Yes",CharacterSheet!$V$34,0))))</f>
        <v>1</v>
      </c>
      <c r="J150" s="57" t="s">
        <v>360</v>
      </c>
      <c r="K150" s="66">
        <f>IF(J150="no",0,IF(OR(F150="None",F150="Cheval",F150="Legend",F150="Mystery",F150="Prophecy",F150="TsukumoGami"),0,IF(F150="Varies","V",IF(AND(G150=0,CharacterSheet!$R$36="No"),0,IF(AND(G150=0,CharacterSheet!$R$36="Yes"),LOOKUP(D150,Reference!$N$2:$N$10,Reference!$O$2:$O$10),IF(G150&gt;0,LOOKUP(D150,Reference!$N$2:$N$10,Reference!$P$2:$P$10),"ERROR"))))))</f>
        <v>0</v>
      </c>
      <c r="L150" s="66" t="s">
        <v>361</v>
      </c>
      <c r="M150" s="66">
        <f>IF(E150="V","V",IF(J150="Yes",K150,0)+IF(L150="Yes",CharacterSheet!D242,0))</f>
        <v>0</v>
      </c>
      <c r="N150" s="66" t="s">
        <v>1625</v>
      </c>
      <c r="O150" s="66" t="s">
        <v>1549</v>
      </c>
      <c r="P150" s="66" t="s">
        <v>1067</v>
      </c>
      <c r="Q150" s="188">
        <v>98</v>
      </c>
    </row>
    <row r="151" spans="1:17" x14ac:dyDescent="0.25">
      <c r="A151" s="86" t="s">
        <v>1254</v>
      </c>
      <c r="B151" s="39" t="s">
        <v>385</v>
      </c>
      <c r="C151" s="39">
        <v>4</v>
      </c>
      <c r="D151" s="66" t="s">
        <v>20</v>
      </c>
      <c r="E151" s="66">
        <f>LOOKUP(D151,Reference!$B$33:$B$46,Reference!$C$33:$C$46)</f>
        <v>1</v>
      </c>
      <c r="F151" s="66" t="s">
        <v>49</v>
      </c>
      <c r="G151" s="66">
        <f>LOOKUP(F151,Reference!$D$32:$D$55,Reference!$E$32:$E$55)</f>
        <v>0</v>
      </c>
      <c r="H151" s="66" t="s">
        <v>361</v>
      </c>
      <c r="I151" s="57">
        <f>IF(OR(E151="V",G151="V"),"V",IF(AND(E151="None",G151="None"),"None",(IF(E151="None",0,E151)+IF(G151="None",0,G151)+IF(H151="Yes",CharacterSheet!$V$34,0))))</f>
        <v>1</v>
      </c>
      <c r="J151" s="57" t="s">
        <v>360</v>
      </c>
      <c r="K151" s="66">
        <f>IF(J151="no",0,IF(OR(F151="None",F151="Cheval",F151="Legend",F151="Mystery",F151="Prophecy",F151="TsukumoGami"),0,IF(F151="Varies","V",IF(AND(G151=0,CharacterSheet!$R$36="No"),0,IF(AND(G151=0,CharacterSheet!$R$36="Yes"),LOOKUP(D151,Reference!$N$2:$N$10,Reference!$O$2:$O$10),IF(G151&gt;0,LOOKUP(D151,Reference!$N$2:$N$10,Reference!$P$2:$P$10),"ERROR"))))))</f>
        <v>0</v>
      </c>
      <c r="L151" s="66" t="s">
        <v>361</v>
      </c>
      <c r="M151" s="66">
        <f>IF(E151="V","V",IF(J151="Yes",K151,0)+IF(L151="Yes",CharacterSheet!D204,0))</f>
        <v>0</v>
      </c>
      <c r="N151" s="66" t="s">
        <v>1072</v>
      </c>
      <c r="O151" s="66" t="s">
        <v>1619</v>
      </c>
      <c r="P151" s="66" t="s">
        <v>1067</v>
      </c>
      <c r="Q151" s="188">
        <v>98</v>
      </c>
    </row>
    <row r="152" spans="1:17" x14ac:dyDescent="0.25">
      <c r="A152" s="86" t="s">
        <v>1402</v>
      </c>
      <c r="B152" s="39" t="s">
        <v>366</v>
      </c>
      <c r="C152" s="39">
        <v>3</v>
      </c>
      <c r="D152" s="66" t="s">
        <v>14</v>
      </c>
      <c r="E152" s="66">
        <f>LOOKUP(D152,Reference!$B$33:$B$46,Reference!$C$33:$C$46)</f>
        <v>1</v>
      </c>
      <c r="F152" s="66" t="s">
        <v>36</v>
      </c>
      <c r="G152" s="66">
        <f>LOOKUP(F152,Reference!$D$32:$D$55,Reference!$E$32:$E$55)</f>
        <v>0</v>
      </c>
      <c r="H152" s="66" t="s">
        <v>361</v>
      </c>
      <c r="I152" s="57">
        <f>IF(OR(E152="V",G152="V"),"V",IF(AND(E152="None",G152="None"),"None",(IF(E152="None",0,E152)+IF(G152="None",0,G152)+IF(H152="Yes",CharacterSheet!$V$34,0))))</f>
        <v>1</v>
      </c>
      <c r="J152" s="57" t="s">
        <v>360</v>
      </c>
      <c r="K152" s="66">
        <f>IF(J152="no",0,IF(OR(F152="None",F152="Cheval",F152="Legend",F152="Mystery",F152="Prophecy",F152="TsukumoGami"),0,IF(F152="Varies","V",IF(AND(G152=0,CharacterSheet!$R$36="No"),0,IF(AND(G152=0,CharacterSheet!$R$36="Yes"),LOOKUP(D152,Reference!$N$2:$N$10,Reference!$O$2:$O$10),IF(G152&gt;0,LOOKUP(D152,Reference!$N$2:$N$10,Reference!$P$2:$P$10),"ERROR"))))))</f>
        <v>0</v>
      </c>
      <c r="L152" s="66" t="s">
        <v>361</v>
      </c>
      <c r="M152" s="66">
        <f>IF(E152="V","V",IF(J152="Yes",K152,0)+IF(L152="Yes",CharacterSheet!#REF!,0))</f>
        <v>0</v>
      </c>
      <c r="N152" s="66" t="s">
        <v>1625</v>
      </c>
      <c r="O152" s="66" t="s">
        <v>1542</v>
      </c>
      <c r="P152" s="66" t="s">
        <v>1068</v>
      </c>
      <c r="Q152" s="188">
        <v>71</v>
      </c>
    </row>
    <row r="153" spans="1:17" x14ac:dyDescent="0.25">
      <c r="A153" s="86" t="s">
        <v>1307</v>
      </c>
      <c r="B153" s="39" t="s">
        <v>375</v>
      </c>
      <c r="C153" s="39">
        <v>10</v>
      </c>
      <c r="D153" s="66" t="s">
        <v>13</v>
      </c>
      <c r="E153" s="66">
        <f>LOOKUP(D153,Reference!$B$33:$B$46,Reference!$C$33:$C$46)</f>
        <v>1</v>
      </c>
      <c r="F153" s="66" t="s">
        <v>49</v>
      </c>
      <c r="G153" s="66">
        <f>LOOKUP(F153,Reference!$D$32:$D$55,Reference!$E$32:$E$55)</f>
        <v>0</v>
      </c>
      <c r="H153" s="66" t="s">
        <v>361</v>
      </c>
      <c r="I153" s="57">
        <f>IF(OR(E153="V",G153="V"),"V",IF(AND(E153="None",G153="None"),"None",(IF(E153="None",0,E153)+IF(G153="None",0,G153)+IF(H153="Yes",CharacterSheet!$V$34,0))))</f>
        <v>1</v>
      </c>
      <c r="J153" s="57" t="s">
        <v>360</v>
      </c>
      <c r="K153" s="66">
        <f>IF(J153="no",0,IF(OR(F153="None",F153="Cheval",F153="Legend",F153="Mystery",F153="Prophecy",F153="TsukumoGami"),0,IF(F153="Varies","V",IF(AND(G153=0,CharacterSheet!$R$36="No"),0,IF(AND(G153=0,CharacterSheet!$R$36="Yes"),LOOKUP(D153,Reference!$N$2:$N$10,Reference!$O$2:$O$10),IF(G153&gt;0,LOOKUP(D153,Reference!$N$2:$N$10,Reference!$P$2:$P$10),"ERROR"))))))</f>
        <v>0</v>
      </c>
      <c r="L153" s="66" t="s">
        <v>361</v>
      </c>
      <c r="M153" s="66">
        <f>IF(E153="V","V",IF(J153="Yes",K153,0)+IF(L153="Yes",CharacterSheet!D306,0))</f>
        <v>0</v>
      </c>
      <c r="N153" s="66" t="s">
        <v>1652</v>
      </c>
      <c r="O153" s="66" t="s">
        <v>1623</v>
      </c>
      <c r="P153" s="66" t="s">
        <v>5</v>
      </c>
      <c r="Q153" s="188">
        <v>96</v>
      </c>
    </row>
    <row r="154" spans="1:17" x14ac:dyDescent="0.25">
      <c r="A154" s="86" t="s">
        <v>1105</v>
      </c>
      <c r="B154" s="39" t="s">
        <v>372</v>
      </c>
      <c r="C154" s="39">
        <v>1</v>
      </c>
      <c r="D154" s="66" t="s">
        <v>508</v>
      </c>
      <c r="E154" s="66" t="str">
        <f>LOOKUP(D154,Reference!$B$33:$B$46,Reference!$C$33:$C$46)</f>
        <v>None</v>
      </c>
      <c r="F154" s="66" t="s">
        <v>508</v>
      </c>
      <c r="G154" s="66" t="str">
        <f>LOOKUP(F154,Reference!$D$32:$D$55,Reference!$E$32:$E$55)</f>
        <v>None</v>
      </c>
      <c r="H154" s="66" t="s">
        <v>361</v>
      </c>
      <c r="I154" s="57" t="str">
        <f>IF(OR(E154="V",G154="V"),"V",IF(AND(E154="None",G154="None"),"None",(IF(E154="None",0,E154)+IF(G154="None",0,G154)+IF(H154="Yes",CharacterSheet!$V$34,0))))</f>
        <v>None</v>
      </c>
      <c r="J154" s="57" t="s">
        <v>361</v>
      </c>
      <c r="K154" s="66">
        <f>IF(J154="no",0,IF(OR(F154="None",F154="Cheval",F154="Legend",F154="Mystery",F154="Prophecy",F154="TsukumoGami"),0,IF(F154="Varies","V",IF(AND(G154=0,CharacterSheet!$R$36="No"),0,IF(AND(G154=0,CharacterSheet!$R$36="Yes"),LOOKUP(D154,Reference!$N$2:$N$10,Reference!$O$2:$O$10),IF(G154&gt;0,LOOKUP(D154,Reference!$N$2:$N$10,Reference!$P$2:$P$10),"ERROR"))))))</f>
        <v>0</v>
      </c>
      <c r="L154" s="66" t="s">
        <v>361</v>
      </c>
      <c r="M154" s="66">
        <f>IF(E154="V","V",IF(J154="Yes",K154,0)+IF(L154="Yes",CharacterSheet!D133,0))</f>
        <v>0</v>
      </c>
      <c r="N154" s="66" t="s">
        <v>1799</v>
      </c>
      <c r="O154" s="66" t="s">
        <v>1799</v>
      </c>
      <c r="P154" s="66" t="s">
        <v>141</v>
      </c>
      <c r="Q154" s="188">
        <v>142</v>
      </c>
    </row>
    <row r="155" spans="1:17" x14ac:dyDescent="0.25">
      <c r="A155" s="86" t="s">
        <v>1470</v>
      </c>
      <c r="B155" s="39" t="s">
        <v>194</v>
      </c>
      <c r="C155" s="39">
        <v>6</v>
      </c>
      <c r="D155" s="66" t="s">
        <v>14</v>
      </c>
      <c r="E155" s="66">
        <f>LOOKUP(D155,Reference!$B$33:$B$46,Reference!$C$33:$C$46)</f>
        <v>1</v>
      </c>
      <c r="F155" s="66" t="s">
        <v>42</v>
      </c>
      <c r="G155" s="66">
        <f>LOOKUP(F155,Reference!$D$32:$D$55,Reference!$E$32:$E$55)</f>
        <v>0</v>
      </c>
      <c r="H155" s="66" t="s">
        <v>361</v>
      </c>
      <c r="I155" s="57">
        <f>IF(OR(E155="V",G155="V"),"V",IF(AND(E155="None",G155="None"),"None",(IF(E155="None",0,E155)+IF(G155="None",0,G155)+IF(H155="Yes",CharacterSheet!$V$34,0))))</f>
        <v>1</v>
      </c>
      <c r="J155" s="57" t="s">
        <v>360</v>
      </c>
      <c r="K155" s="66">
        <f>IF(J155="no",0,IF(OR(F155="None",F155="Cheval",F155="Legend",F155="Mystery",F155="Prophecy",F155="TsukumoGami"),0,IF(F155="Varies","V",IF(AND(G155=0,CharacterSheet!$R$36="No"),0,IF(AND(G155=0,CharacterSheet!$R$36="Yes"),LOOKUP(D155,Reference!$N$2:$N$10,Reference!$O$2:$O$10),IF(G155&gt;0,LOOKUP(D155,Reference!$N$2:$N$10,Reference!$P$2:$P$10),"ERROR"))))))</f>
        <v>0</v>
      </c>
      <c r="L155" s="66" t="s">
        <v>361</v>
      </c>
      <c r="M155" s="66">
        <f>IF(E155="V","V",IF(J155="Yes",K155,0)+IF(L155="Yes",CharacterSheet!D76,0))</f>
        <v>0</v>
      </c>
      <c r="N155" s="66" t="s">
        <v>1086</v>
      </c>
      <c r="O155" s="66" t="s">
        <v>1553</v>
      </c>
      <c r="P155" s="66" t="s">
        <v>1068</v>
      </c>
      <c r="Q155" s="188">
        <v>229</v>
      </c>
    </row>
    <row r="156" spans="1:17" x14ac:dyDescent="0.25">
      <c r="A156" s="86" t="s">
        <v>1107</v>
      </c>
      <c r="B156" s="39" t="s">
        <v>372</v>
      </c>
      <c r="C156" s="39">
        <v>3</v>
      </c>
      <c r="D156" s="66" t="s">
        <v>19</v>
      </c>
      <c r="E156" s="66">
        <f>LOOKUP(D156,Reference!$B$33:$B$46,Reference!$C$33:$C$46)</f>
        <v>1</v>
      </c>
      <c r="F156" s="66" t="s">
        <v>38</v>
      </c>
      <c r="G156" s="66">
        <f>LOOKUP(F156,Reference!$D$32:$D$55,Reference!$E$32:$E$55)</f>
        <v>0</v>
      </c>
      <c r="H156" s="66" t="s">
        <v>361</v>
      </c>
      <c r="I156" s="57">
        <f>IF(OR(E156="V",G156="V"),"V",IF(AND(E156="None",G156="None"),"None",(IF(E156="None",0,E156)+IF(G156="None",0,G156)+IF(H156="Yes",CharacterSheet!$V$34,0))))</f>
        <v>1</v>
      </c>
      <c r="J156" s="57" t="s">
        <v>360</v>
      </c>
      <c r="K156" s="66">
        <f>IF(J156="no",0,IF(OR(F156="None",F156="Cheval",F156="Legend",F156="Mystery",F156="Prophecy",F156="TsukumoGami"),0,IF(F156="Varies","V",IF(AND(G156=0,CharacterSheet!$R$36="No"),0,IF(AND(G156=0,CharacterSheet!$R$36="Yes"),LOOKUP(D156,Reference!$N$2:$N$10,Reference!$O$2:$O$10),IF(G156&gt;0,LOOKUP(D156,Reference!$N$2:$N$10,Reference!$P$2:$P$10),"ERROR"))))))</f>
        <v>0</v>
      </c>
      <c r="L156" s="66" t="s">
        <v>361</v>
      </c>
      <c r="M156" s="66">
        <f>IF(E156="V","V",IF(J156="Yes",K156,0)+IF(L156="Yes",CharacterSheet!D230,0))</f>
        <v>0</v>
      </c>
      <c r="N156" s="66" t="s">
        <v>1072</v>
      </c>
      <c r="O156" s="66" t="s">
        <v>1550</v>
      </c>
      <c r="P156" s="66" t="s">
        <v>141</v>
      </c>
      <c r="Q156" s="188">
        <v>143</v>
      </c>
    </row>
    <row r="157" spans="1:17" x14ac:dyDescent="0.25">
      <c r="A157" s="86" t="s">
        <v>1444</v>
      </c>
      <c r="B157" s="39" t="s">
        <v>177</v>
      </c>
      <c r="C157" s="39">
        <v>1</v>
      </c>
      <c r="D157" s="66" t="s">
        <v>508</v>
      </c>
      <c r="E157" s="66" t="str">
        <f>LOOKUP(D157,Reference!$B$33:$B$46,Reference!$C$33:$C$46)</f>
        <v>None</v>
      </c>
      <c r="F157" s="66" t="s">
        <v>508</v>
      </c>
      <c r="G157" s="66" t="str">
        <f>LOOKUP(F157,Reference!$D$32:$D$55,Reference!$E$32:$E$55)</f>
        <v>None</v>
      </c>
      <c r="H157" s="66" t="s">
        <v>361</v>
      </c>
      <c r="I157" s="57" t="str">
        <f>IF(OR(E157="V",G157="V"),"V",IF(AND(E157="None",G157="None"),"None",(IF(E157="None",0,E157)+IF(G157="None",0,G157)+IF(H157="Yes",CharacterSheet!$V$34,0))))</f>
        <v>None</v>
      </c>
      <c r="J157" s="57" t="s">
        <v>361</v>
      </c>
      <c r="K157" s="66">
        <f>IF(J157="no",0,IF(OR(F157="None",F157="Cheval",F157="Legend",F157="Mystery",F157="Prophecy",F157="TsukumoGami"),0,IF(F157="Varies","V",IF(AND(G157=0,CharacterSheet!$R$36="No"),0,IF(AND(G157=0,CharacterSheet!$R$36="Yes"),LOOKUP(D157,Reference!$N$2:$N$10,Reference!$O$2:$O$10),IF(G157&gt;0,LOOKUP(D157,Reference!$N$2:$N$10,Reference!$P$2:$P$10),"ERROR"))))))</f>
        <v>0</v>
      </c>
      <c r="L157" s="66" t="s">
        <v>361</v>
      </c>
      <c r="M157" s="66">
        <f>IF(E157="V","V",IF(J157="Yes",K157,0)+IF(L157="Yes",CharacterSheet!D420,0))</f>
        <v>0</v>
      </c>
      <c r="N157" s="66" t="s">
        <v>1072</v>
      </c>
      <c r="O157" s="66" t="s">
        <v>508</v>
      </c>
      <c r="P157" s="66" t="s">
        <v>1068</v>
      </c>
      <c r="Q157" s="188">
        <v>96</v>
      </c>
    </row>
    <row r="158" spans="1:17" x14ac:dyDescent="0.25">
      <c r="A158" s="86" t="s">
        <v>1446</v>
      </c>
      <c r="B158" s="39" t="s">
        <v>177</v>
      </c>
      <c r="C158" s="39">
        <v>3</v>
      </c>
      <c r="D158" s="66" t="s">
        <v>508</v>
      </c>
      <c r="E158" s="66" t="str">
        <f>LOOKUP(D158,Reference!$B$33:$B$46,Reference!$C$33:$C$46)</f>
        <v>None</v>
      </c>
      <c r="F158" s="66" t="s">
        <v>508</v>
      </c>
      <c r="G158" s="66" t="str">
        <f>LOOKUP(F158,Reference!$D$32:$D$55,Reference!$E$32:$E$55)</f>
        <v>None</v>
      </c>
      <c r="H158" s="66" t="s">
        <v>361</v>
      </c>
      <c r="I158" s="57" t="str">
        <f>IF(OR(E158="V",G158="V"),"V",IF(AND(E158="None",G158="None"),"None",(IF(E158="None",0,E158)+IF(G158="None",0,G158)+IF(H158="Yes",CharacterSheet!$V$34,0))))</f>
        <v>None</v>
      </c>
      <c r="J158" s="57" t="s">
        <v>361</v>
      </c>
      <c r="K158" s="66">
        <f>IF(J158="no",0,IF(OR(F158="None",F158="Cheval",F158="Legend",F158="Mystery",F158="Prophecy",F158="TsukumoGami"),0,IF(F158="Varies","V",IF(AND(G158=0,CharacterSheet!$R$36="No"),0,IF(AND(G158=0,CharacterSheet!$R$36="Yes"),LOOKUP(D158,Reference!$N$2:$N$10,Reference!$O$2:$O$10),IF(G158&gt;0,LOOKUP(D158,Reference!$N$2:$N$10,Reference!$P$2:$P$10),"ERROR"))))))</f>
        <v>0</v>
      </c>
      <c r="L158" s="66" t="s">
        <v>361</v>
      </c>
      <c r="M158" s="66">
        <f>IF(E158="V","V",IF(J158="Yes",K158,0)+IF(L158="Yes",CharacterSheet!D423,0))</f>
        <v>0</v>
      </c>
      <c r="N158" s="66" t="s">
        <v>508</v>
      </c>
      <c r="O158" s="66" t="s">
        <v>508</v>
      </c>
      <c r="P158" s="66" t="s">
        <v>1068</v>
      </c>
      <c r="Q158" s="188">
        <v>96</v>
      </c>
    </row>
    <row r="159" spans="1:17" x14ac:dyDescent="0.25">
      <c r="A159" s="86" t="s">
        <v>1467</v>
      </c>
      <c r="B159" s="39" t="s">
        <v>194</v>
      </c>
      <c r="C159" s="39">
        <v>3</v>
      </c>
      <c r="D159" s="66" t="s">
        <v>19</v>
      </c>
      <c r="E159" s="66">
        <f>LOOKUP(D159,Reference!$B$33:$B$46,Reference!$C$33:$C$46)</f>
        <v>1</v>
      </c>
      <c r="F159" s="66" t="s">
        <v>57</v>
      </c>
      <c r="G159" s="66">
        <f>LOOKUP(F159,Reference!$D$32:$D$55,Reference!$E$32:$E$55)</f>
        <v>0</v>
      </c>
      <c r="H159" s="66" t="s">
        <v>361</v>
      </c>
      <c r="I159" s="57">
        <f>IF(OR(E159="V",G159="V"),"V",IF(AND(E159="None",G159="None"),"None",(IF(E159="None",0,E159)+IF(G159="None",0,G159)+IF(H159="Yes",CharacterSheet!$V$34,0))))</f>
        <v>1</v>
      </c>
      <c r="J159" s="57" t="s">
        <v>360</v>
      </c>
      <c r="K159" s="66">
        <f>IF(J159="no",0,IF(OR(F159="None",F159="Cheval",F159="Legend",F159="Mystery",F159="Prophecy",F159="TsukumoGami"),0,IF(F159="Varies","V",IF(AND(G159=0,CharacterSheet!$R$36="No"),0,IF(AND(G159=0,CharacterSheet!$R$36="Yes"),LOOKUP(D159,Reference!$N$2:$N$10,Reference!$O$2:$O$10),IF(G159&gt;0,LOOKUP(D159,Reference!$N$2:$N$10,Reference!$P$2:$P$10),"ERROR"))))))</f>
        <v>0</v>
      </c>
      <c r="L159" s="66" t="s">
        <v>361</v>
      </c>
      <c r="M159" s="66">
        <f>IF(E159="V","V",IF(J159="Yes",K159,0)+IF(L159="Yes",CharacterSheet!D443,0))</f>
        <v>0</v>
      </c>
      <c r="N159" s="66" t="s">
        <v>1072</v>
      </c>
      <c r="O159" s="66" t="s">
        <v>1728</v>
      </c>
      <c r="P159" s="66" t="s">
        <v>1068</v>
      </c>
      <c r="Q159" s="188">
        <v>229</v>
      </c>
    </row>
    <row r="160" spans="1:17" x14ac:dyDescent="0.25">
      <c r="A160" s="86" t="s">
        <v>1191</v>
      </c>
      <c r="B160" s="39" t="s">
        <v>372</v>
      </c>
      <c r="C160" s="39">
        <v>5</v>
      </c>
      <c r="D160" s="66" t="s">
        <v>508</v>
      </c>
      <c r="E160" s="66" t="str">
        <f>LOOKUP(D160,Reference!$B$33:$B$46,Reference!$C$33:$C$46)</f>
        <v>None</v>
      </c>
      <c r="F160" s="66" t="s">
        <v>508</v>
      </c>
      <c r="G160" s="66" t="str">
        <f>LOOKUP(F160,Reference!$D$32:$D$55,Reference!$E$32:$E$55)</f>
        <v>None</v>
      </c>
      <c r="H160" s="66" t="s">
        <v>361</v>
      </c>
      <c r="I160" s="57" t="str">
        <f>IF(OR(E160="V",G160="V"),"V",IF(AND(E160="None",G160="None"),"None",(IF(E160="None",0,E160)+IF(G160="None",0,G160)+IF(H160="Yes",CharacterSheet!$V$34,0))))</f>
        <v>None</v>
      </c>
      <c r="J160" s="57" t="s">
        <v>361</v>
      </c>
      <c r="K160" s="66">
        <f>IF(J160="no",0,IF(OR(F160="None",F160="Cheval",F160="Legend",F160="Mystery",F160="Prophecy",F160="TsukumoGami"),0,IF(F160="Varies","V",IF(AND(G160=0,CharacterSheet!$R$36="No"),0,IF(AND(G160=0,CharacterSheet!$R$36="Yes"),LOOKUP(D160,Reference!$N$2:$N$10,Reference!$O$2:$O$10),IF(G160&gt;0,LOOKUP(D160,Reference!$N$2:$N$10,Reference!$P$2:$P$10),"ERROR"))))))</f>
        <v>0</v>
      </c>
      <c r="L160" s="66" t="s">
        <v>361</v>
      </c>
      <c r="M160" s="66">
        <f>IF(E160="V","V",IF(J160="Yes",K160,0)+IF(L160="Yes",CharacterSheet!D352,0))</f>
        <v>0</v>
      </c>
      <c r="N160" s="66" t="s">
        <v>1072</v>
      </c>
      <c r="O160" s="66" t="s">
        <v>508</v>
      </c>
      <c r="P160" s="66" t="s">
        <v>1067</v>
      </c>
      <c r="Q160" s="188">
        <v>78</v>
      </c>
    </row>
    <row r="161" spans="1:17" x14ac:dyDescent="0.25">
      <c r="A161" s="86" t="s">
        <v>1414</v>
      </c>
      <c r="B161" s="39" t="s">
        <v>372</v>
      </c>
      <c r="C161" s="39">
        <v>4</v>
      </c>
      <c r="D161" s="66" t="s">
        <v>508</v>
      </c>
      <c r="E161" s="66" t="str">
        <f>LOOKUP(D161,Reference!$B$33:$B$46,Reference!$C$33:$C$46)</f>
        <v>None</v>
      </c>
      <c r="F161" s="66" t="s">
        <v>508</v>
      </c>
      <c r="G161" s="66" t="str">
        <f>LOOKUP(F161,Reference!$D$32:$D$55,Reference!$E$32:$E$55)</f>
        <v>None</v>
      </c>
      <c r="H161" s="66" t="s">
        <v>361</v>
      </c>
      <c r="I161" s="57" t="str">
        <f>IF(OR(E161="V",G161="V"),"V",IF(AND(E161="None",G161="None"),"None",(IF(E161="None",0,E161)+IF(G161="None",0,G161)+IF(H161="Yes",CharacterSheet!$V$34,0))))</f>
        <v>None</v>
      </c>
      <c r="J161" s="57" t="s">
        <v>361</v>
      </c>
      <c r="K161" s="66">
        <f>IF(J161="no",0,IF(OR(F161="None",F161="Cheval",F161="Legend",F161="Mystery",F161="Prophecy",F161="TsukumoGami"),0,IF(F161="Varies","V",IF(AND(G161=0,CharacterSheet!$R$36="No"),0,IF(AND(G161=0,CharacterSheet!$R$36="Yes"),LOOKUP(D161,Reference!$N$2:$N$10,Reference!$O$2:$O$10),IF(G161&gt;0,LOOKUP(D161,Reference!$N$2:$N$10,Reference!$P$2:$P$10),"ERROR"))))))</f>
        <v>0</v>
      </c>
      <c r="L161" s="66" t="s">
        <v>361</v>
      </c>
      <c r="M161" s="66">
        <f>IF(E161="V","V",IF(J161="Yes",K161,0)+IF(L161="Yes",CharacterSheet!D354,0))</f>
        <v>0</v>
      </c>
      <c r="N161" s="66" t="s">
        <v>1072</v>
      </c>
      <c r="O161" s="66" t="s">
        <v>508</v>
      </c>
      <c r="P161" s="66" t="s">
        <v>1068</v>
      </c>
      <c r="Q161" s="188">
        <v>74</v>
      </c>
    </row>
    <row r="162" spans="1:17" x14ac:dyDescent="0.25">
      <c r="A162" s="86" t="s">
        <v>1218</v>
      </c>
      <c r="B162" s="39" t="s">
        <v>379</v>
      </c>
      <c r="C162" s="39">
        <v>4</v>
      </c>
      <c r="D162" s="66" t="s">
        <v>508</v>
      </c>
      <c r="E162" s="66" t="str">
        <f>LOOKUP(D162,Reference!$B$33:$B$46,Reference!$C$33:$C$46)</f>
        <v>None</v>
      </c>
      <c r="F162" s="66" t="s">
        <v>508</v>
      </c>
      <c r="G162" s="66" t="str">
        <f>LOOKUP(F162,Reference!$D$32:$D$55,Reference!$E$32:$E$55)</f>
        <v>None</v>
      </c>
      <c r="H162" s="66" t="s">
        <v>361</v>
      </c>
      <c r="I162" s="57" t="str">
        <f>IF(OR(E162="V",G162="V"),"V",IF(AND(E162="None",G162="None"),"None",(IF(E162="None",0,E162)+IF(G162="None",0,G162)+IF(H162="Yes",CharacterSheet!$V$34,0))))</f>
        <v>None</v>
      </c>
      <c r="J162" s="57" t="s">
        <v>361</v>
      </c>
      <c r="K162" s="66">
        <f>IF(J162="no",0,IF(OR(F162="None",F162="Cheval",F162="Legend",F162="Mystery",F162="Prophecy",F162="TsukumoGami"),0,IF(F162="Varies","V",IF(AND(G162=0,CharacterSheet!$R$36="No"),0,IF(AND(G162=0,CharacterSheet!$R$36="Yes"),LOOKUP(D162,Reference!$N$2:$N$10,Reference!$O$2:$O$10),IF(G162&gt;0,LOOKUP(D162,Reference!$N$2:$N$10,Reference!$P$2:$P$10),"ERROR"))))))</f>
        <v>0</v>
      </c>
      <c r="L162" s="66" t="s">
        <v>361</v>
      </c>
      <c r="M162" s="66">
        <f>IF(E162="V","V",IF(J162="Yes",K162,0)+IF(L162="Yes",CharacterSheet!D342,0))</f>
        <v>0</v>
      </c>
      <c r="N162" s="66" t="s">
        <v>1589</v>
      </c>
      <c r="O162" s="66" t="s">
        <v>508</v>
      </c>
      <c r="P162" s="66" t="s">
        <v>1067</v>
      </c>
      <c r="Q162" s="188">
        <v>88</v>
      </c>
    </row>
    <row r="163" spans="1:17" x14ac:dyDescent="0.25">
      <c r="A163" s="87" t="s">
        <v>1516</v>
      </c>
      <c r="B163" s="66" t="s">
        <v>704</v>
      </c>
      <c r="C163" s="39">
        <v>9</v>
      </c>
      <c r="D163" s="66" t="s">
        <v>14</v>
      </c>
      <c r="E163" s="66">
        <f>LOOKUP(D163,Reference!$B$33:$B$46,Reference!$C$33:$C$46)</f>
        <v>1</v>
      </c>
      <c r="F163" s="66" t="s">
        <v>53</v>
      </c>
      <c r="G163" s="66">
        <f>LOOKUP(F163,Reference!$D$32:$D$55,Reference!$E$32:$E$55)</f>
        <v>0</v>
      </c>
      <c r="H163" s="66" t="s">
        <v>361</v>
      </c>
      <c r="I163" s="57">
        <f>IF(OR(E163="V",G163="V"),"V",IF(AND(E163="None",G163="None"),"None",(IF(E163="None",0,E163)+IF(G163="None",0,G163)+IF(H163="Yes",CharacterSheet!$V$34,0))))</f>
        <v>1</v>
      </c>
      <c r="J163" s="57" t="s">
        <v>360</v>
      </c>
      <c r="K163" s="66">
        <f>IF(J163="no",0,IF(OR(F163="None",F163="Cheval",F163="Legend",F163="Mystery",F163="Prophecy",F163="TsukumoGami"),0,IF(F163="Varies","V",IF(AND(G163=0,CharacterSheet!$R$36="No"),0,IF(AND(G163=0,CharacterSheet!$R$36="Yes"),LOOKUP(D163,Reference!$N$2:$N$10,Reference!$O$2:$O$10),IF(G163&gt;0,LOOKUP(D163,Reference!$N$2:$N$10,Reference!$P$2:$P$10),"ERROR"))))))</f>
        <v>0</v>
      </c>
      <c r="L163" s="66" t="s">
        <v>361</v>
      </c>
      <c r="M163" s="66">
        <f>IF(E163="V","V",IF(J163="Yes",K163,0)+IF(L163="Yes",CharacterSheet!D369,0))</f>
        <v>0</v>
      </c>
      <c r="N163" s="66" t="s">
        <v>1074</v>
      </c>
      <c r="O163" s="66" t="s">
        <v>1552</v>
      </c>
      <c r="P163" s="66" t="s">
        <v>1507</v>
      </c>
      <c r="Q163" s="188">
        <v>38</v>
      </c>
    </row>
    <row r="164" spans="1:17" x14ac:dyDescent="0.25">
      <c r="A164" s="86" t="s">
        <v>1322</v>
      </c>
      <c r="B164" s="39" t="s">
        <v>380</v>
      </c>
      <c r="C164" s="39">
        <v>9</v>
      </c>
      <c r="D164" s="66" t="s">
        <v>16</v>
      </c>
      <c r="E164" s="66">
        <f>LOOKUP(D164,Reference!$B$33:$B$46,Reference!$C$33:$C$46)</f>
        <v>1</v>
      </c>
      <c r="F164" s="66" t="s">
        <v>40</v>
      </c>
      <c r="G164" s="66">
        <f>LOOKUP(F164,Reference!$D$32:$D$55,Reference!$E$32:$E$55)</f>
        <v>0</v>
      </c>
      <c r="H164" s="66" t="s">
        <v>361</v>
      </c>
      <c r="I164" s="57">
        <f>IF(OR(E164="V",G164="V"),"V",IF(AND(E164="None",G164="None"),"None",(IF(E164="None",0,E164)+IF(G164="None",0,G164)+IF(H164="Yes",CharacterSheet!$V$34,0))))</f>
        <v>1</v>
      </c>
      <c r="J164" s="57" t="s">
        <v>360</v>
      </c>
      <c r="K164" s="66">
        <f>IF(J164="no",0,IF(OR(F164="None",F164="Cheval",F164="Legend",F164="Mystery",F164="Prophecy",F164="TsukumoGami"),0,IF(F164="Varies","V",IF(AND(G164=0,CharacterSheet!$R$36="No"),0,IF(AND(G164=0,CharacterSheet!$R$36="Yes"),LOOKUP(D164,Reference!$N$2:$N$10,Reference!$O$2:$O$10),IF(G164&gt;0,LOOKUP(D164,Reference!$N$2:$N$10,Reference!$P$2:$P$10),"ERROR"))))))</f>
        <v>0</v>
      </c>
      <c r="L164" s="66" t="s">
        <v>361</v>
      </c>
      <c r="M164" s="66">
        <f>IF(E164="V","V",IF(J164="Yes",K164,0)+IF(L164="Yes",CharacterSheet!D213,0))</f>
        <v>0</v>
      </c>
      <c r="N164" s="66" t="s">
        <v>1075</v>
      </c>
      <c r="O164" s="66" t="s">
        <v>1549</v>
      </c>
      <c r="P164" s="66" t="s">
        <v>5</v>
      </c>
      <c r="Q164" s="188">
        <v>102</v>
      </c>
    </row>
    <row r="165" spans="1:17" x14ac:dyDescent="0.25">
      <c r="A165" s="87" t="s">
        <v>1524</v>
      </c>
      <c r="B165" s="66" t="s">
        <v>703</v>
      </c>
      <c r="C165" s="39">
        <v>3</v>
      </c>
      <c r="D165" s="66" t="s">
        <v>17</v>
      </c>
      <c r="E165" s="66">
        <f>LOOKUP(D165,Reference!$B$33:$B$46,Reference!$C$33:$C$46)</f>
        <v>1</v>
      </c>
      <c r="F165" s="66" t="s">
        <v>55</v>
      </c>
      <c r="G165" s="66">
        <f>LOOKUP(F165,Reference!$D$32:$D$55,Reference!$E$32:$E$55)</f>
        <v>0</v>
      </c>
      <c r="H165" s="66" t="s">
        <v>361</v>
      </c>
      <c r="I165" s="57">
        <f>IF(OR(E165="V",G165="V"),"V",IF(AND(E165="None",G165="None"),"None",(IF(E165="None",0,E165)+IF(G165="None",0,G165)+IF(H165="Yes",CharacterSheet!$V$34,0))))</f>
        <v>1</v>
      </c>
      <c r="J165" s="57" t="s">
        <v>360</v>
      </c>
      <c r="K165" s="66">
        <f>IF(J165="no",0,IF(OR(F165="None",F165="Cheval",F165="Legend",F165="Mystery",F165="Prophecy",F165="TsukumoGami"),0,IF(F165="Varies","V",IF(AND(G165=0,CharacterSheet!$R$36="No"),0,IF(AND(G165=0,CharacterSheet!$R$36="Yes"),LOOKUP(D165,Reference!$N$2:$N$10,Reference!$O$2:$O$10),IF(G165&gt;0,LOOKUP(D165,Reference!$N$2:$N$10,Reference!$P$2:$P$10),"ERROR"))))))</f>
        <v>0</v>
      </c>
      <c r="L165" s="66" t="s">
        <v>361</v>
      </c>
      <c r="M165" s="66">
        <f>IF(E165="V","V",IF(J165="Yes",K165,0)+IF(L165="Yes",CharacterSheet!D484,0))</f>
        <v>0</v>
      </c>
      <c r="N165" s="66" t="s">
        <v>1716</v>
      </c>
      <c r="O165" s="66" t="s">
        <v>1736</v>
      </c>
      <c r="P165" s="66" t="s">
        <v>1507</v>
      </c>
      <c r="Q165" s="188">
        <v>40</v>
      </c>
    </row>
    <row r="166" spans="1:17" x14ac:dyDescent="0.25">
      <c r="A166" s="87" t="s">
        <v>1508</v>
      </c>
      <c r="B166" s="66" t="s">
        <v>704</v>
      </c>
      <c r="C166" s="39">
        <v>1</v>
      </c>
      <c r="D166" s="66" t="s">
        <v>508</v>
      </c>
      <c r="E166" s="66" t="str">
        <f>LOOKUP(D166,Reference!$B$33:$B$46,Reference!$C$33:$C$46)</f>
        <v>None</v>
      </c>
      <c r="F166" s="66" t="s">
        <v>508</v>
      </c>
      <c r="G166" s="66" t="str">
        <f>LOOKUP(F166,Reference!$D$32:$D$55,Reference!$E$32:$E$55)</f>
        <v>None</v>
      </c>
      <c r="H166" s="66" t="s">
        <v>361</v>
      </c>
      <c r="I166" s="57" t="str">
        <f>IF(OR(E166="V",G166="V"),"V",IF(AND(E166="None",G166="None"),"None",(IF(E166="None",0,E166)+IF(G166="None",0,G166)+IF(H166="Yes",CharacterSheet!$V$34,0))))</f>
        <v>None</v>
      </c>
      <c r="J166" s="57" t="s">
        <v>361</v>
      </c>
      <c r="K166" s="66">
        <f>IF(J166="no",0,IF(OR(F166="None",F166="Cheval",F166="Legend",F166="Mystery",F166="Prophecy",F166="TsukumoGami"),0,IF(F166="Varies","V",IF(AND(G166=0,CharacterSheet!$R$36="No"),0,IF(AND(G166=0,CharacterSheet!$R$36="Yes"),LOOKUP(D166,Reference!$N$2:$N$10,Reference!$O$2:$O$10),IF(G166&gt;0,LOOKUP(D166,Reference!$N$2:$N$10,Reference!$P$2:$P$10),"ERROR"))))))</f>
        <v>0</v>
      </c>
      <c r="L166" s="66" t="s">
        <v>361</v>
      </c>
      <c r="M166" s="66">
        <f>IF(E166="V","V",IF(J166="Yes",K166,0)+IF(L166="Yes",CharacterSheet!D492,0))</f>
        <v>0</v>
      </c>
      <c r="N166" s="66" t="s">
        <v>1799</v>
      </c>
      <c r="O166" s="66" t="s">
        <v>1799</v>
      </c>
      <c r="P166" s="66" t="s">
        <v>1507</v>
      </c>
      <c r="Q166" s="188">
        <v>35</v>
      </c>
    </row>
    <row r="167" spans="1:17" x14ac:dyDescent="0.25">
      <c r="A167" s="87" t="s">
        <v>1515</v>
      </c>
      <c r="B167" s="66" t="s">
        <v>704</v>
      </c>
      <c r="C167" s="39">
        <v>8</v>
      </c>
      <c r="D167" s="66" t="s">
        <v>17</v>
      </c>
      <c r="E167" s="66">
        <f>LOOKUP(D167,Reference!$B$33:$B$46,Reference!$C$33:$C$46)</f>
        <v>1</v>
      </c>
      <c r="F167" s="66" t="s">
        <v>41</v>
      </c>
      <c r="G167" s="66">
        <f>LOOKUP(F167,Reference!$D$32:$D$55,Reference!$E$32:$E$55)</f>
        <v>0</v>
      </c>
      <c r="H167" s="66" t="s">
        <v>361</v>
      </c>
      <c r="I167" s="57">
        <f>IF(OR(E167="V",G167="V"),"V",IF(AND(E167="None",G167="None"),"None",(IF(E167="None",0,E167)+IF(G167="None",0,G167)+IF(H167="Yes",CharacterSheet!$V$34,0))))</f>
        <v>1</v>
      </c>
      <c r="J167" s="57" t="s">
        <v>360</v>
      </c>
      <c r="K167" s="66">
        <f>IF(J167="no",0,IF(OR(F167="None",F167="Cheval",F167="Legend",F167="Mystery",F167="Prophecy",F167="TsukumoGami"),0,IF(F167="Varies","V",IF(AND(G167=0,CharacterSheet!$R$36="No"),0,IF(AND(G167=0,CharacterSheet!$R$36="Yes"),LOOKUP(D167,Reference!$N$2:$N$10,Reference!$O$2:$O$10),IF(G167&gt;0,LOOKUP(D167,Reference!$N$2:$N$10,Reference!$P$2:$P$10),"ERROR"))))))</f>
        <v>0</v>
      </c>
      <c r="L167" s="66" t="s">
        <v>361</v>
      </c>
      <c r="M167" s="66">
        <f>IF(E167="V","V",IF(J167="Yes",K167,0)+IF(L167="Yes",CharacterSheet!D393,0))</f>
        <v>0</v>
      </c>
      <c r="N167" s="66" t="s">
        <v>1721</v>
      </c>
      <c r="O167" s="66" t="s">
        <v>1622</v>
      </c>
      <c r="P167" s="66" t="s">
        <v>1507</v>
      </c>
      <c r="Q167" s="188">
        <v>38</v>
      </c>
    </row>
    <row r="168" spans="1:17" x14ac:dyDescent="0.25">
      <c r="A168" s="87" t="s">
        <v>1503</v>
      </c>
      <c r="B168" s="39" t="s">
        <v>378</v>
      </c>
      <c r="C168" s="39">
        <v>8</v>
      </c>
      <c r="D168" s="66" t="s">
        <v>19</v>
      </c>
      <c r="E168" s="66">
        <f>LOOKUP(D168,Reference!$B$33:$B$46,Reference!$C$33:$C$46)</f>
        <v>1</v>
      </c>
      <c r="F168" s="66" t="s">
        <v>58</v>
      </c>
      <c r="G168" s="66">
        <f>LOOKUP(F168,Reference!$D$32:$D$55,Reference!$E$32:$E$55)</f>
        <v>0</v>
      </c>
      <c r="H168" s="66" t="s">
        <v>361</v>
      </c>
      <c r="I168" s="57">
        <f>IF(OR(E168="V",G168="V"),"V",IF(AND(E168="None",G168="None"),"None",(IF(E168="None",0,E168)+IF(G168="None",0,G168)+IF(H168="Yes",CharacterSheet!$V$34,0))))</f>
        <v>1</v>
      </c>
      <c r="J168" s="57" t="s">
        <v>360</v>
      </c>
      <c r="K168" s="66">
        <f>IF(J168="no",0,IF(OR(F168="None",F168="Cheval",F168="Legend",F168="Mystery",F168="Prophecy",F168="TsukumoGami"),0,IF(F168="Varies","V",IF(AND(G168=0,CharacterSheet!$R$36="No"),0,IF(AND(G168=0,CharacterSheet!$R$36="Yes"),LOOKUP(D168,Reference!$N$2:$N$10,Reference!$O$2:$O$10),IF(G168&gt;0,LOOKUP(D168,Reference!$N$2:$N$10,Reference!$P$2:$P$10),"ERROR"))))))</f>
        <v>0</v>
      </c>
      <c r="L168" s="66" t="s">
        <v>361</v>
      </c>
      <c r="M168" s="66">
        <f>IF(E168="V","V",IF(J168="Yes",K168,0)+IF(L168="Yes",CharacterSheet!D371,0))</f>
        <v>0</v>
      </c>
      <c r="N168" s="66" t="s">
        <v>1699</v>
      </c>
      <c r="O168" s="66" t="s">
        <v>1694</v>
      </c>
      <c r="P168" s="66" t="s">
        <v>1485</v>
      </c>
      <c r="Q168" s="188">
        <v>18</v>
      </c>
    </row>
    <row r="169" spans="1:17" x14ac:dyDescent="0.25">
      <c r="A169" s="87" t="s">
        <v>1511</v>
      </c>
      <c r="B169" s="66" t="s">
        <v>704</v>
      </c>
      <c r="C169" s="39">
        <v>4</v>
      </c>
      <c r="D169" s="66" t="s">
        <v>1086</v>
      </c>
      <c r="E169" s="66" t="str">
        <f>LOOKUP(D169,Reference!$B$33:$B$46,Reference!$C$33:$C$46)</f>
        <v>V</v>
      </c>
      <c r="F169" s="66" t="s">
        <v>1086</v>
      </c>
      <c r="G169" s="66" t="str">
        <f>LOOKUP(F169,Reference!$D$32:$D$55,Reference!$E$32:$E$55)</f>
        <v>V</v>
      </c>
      <c r="H169" s="66" t="s">
        <v>361</v>
      </c>
      <c r="I169" s="57" t="str">
        <f>IF(OR(E169="V",G169="V"),"V",IF(AND(E169="None",G169="None"),"None",(IF(E169="None",0,E169)+IF(G169="None",0,G169)+IF(H169="Yes",CharacterSheet!$V$34,0))))</f>
        <v>V</v>
      </c>
      <c r="J169" s="57" t="s">
        <v>360</v>
      </c>
      <c r="K169" s="66" t="str">
        <f>IF(J169="no",0,IF(OR(F169="None",F169="Cheval",F169="Legend",F169="Mystery",F169="Prophecy",F169="TsukumoGami"),0,IF(F169="Varies","V",IF(AND(G169=0,CharacterSheet!$R$36="No"),0,IF(AND(G169=0,CharacterSheet!$R$36="Yes"),LOOKUP(D169,Reference!$N$2:$N$10,Reference!$O$2:$O$10),IF(G169&gt;0,LOOKUP(D169,Reference!$N$2:$N$10,Reference!$P$2:$P$10),"ERROR"))))))</f>
        <v>V</v>
      </c>
      <c r="L169" s="66" t="s">
        <v>361</v>
      </c>
      <c r="M169" s="66" t="str">
        <f>IF(E169="V","V",IF(J169="Yes",K169,0)+IF(L169="Yes",CharacterSheet!D125,0))</f>
        <v>V</v>
      </c>
      <c r="N169" s="66" t="s">
        <v>1689</v>
      </c>
      <c r="O169" s="66" t="s">
        <v>1086</v>
      </c>
      <c r="P169" s="66" t="s">
        <v>1507</v>
      </c>
      <c r="Q169" s="188">
        <v>37</v>
      </c>
    </row>
    <row r="170" spans="1:17" x14ac:dyDescent="0.25">
      <c r="A170" s="86" t="s">
        <v>1392</v>
      </c>
      <c r="B170" s="39" t="s">
        <v>1366</v>
      </c>
      <c r="C170" s="39">
        <v>1</v>
      </c>
      <c r="D170" s="66" t="s">
        <v>508</v>
      </c>
      <c r="E170" s="66" t="str">
        <f>LOOKUP(D170,Reference!$B$33:$B$46,Reference!$C$33:$C$46)</f>
        <v>None</v>
      </c>
      <c r="F170" s="66" t="s">
        <v>508</v>
      </c>
      <c r="G170" s="66" t="str">
        <f>LOOKUP(F170,Reference!$D$32:$D$55,Reference!$E$32:$E$55)</f>
        <v>None</v>
      </c>
      <c r="H170" s="66" t="s">
        <v>361</v>
      </c>
      <c r="I170" s="57" t="str">
        <f>IF(OR(E170="V",G170="V"),"V",IF(AND(E170="None",G170="None"),"None",(IF(E170="None",0,E170)+IF(G170="None",0,G170)+IF(H170="Yes",CharacterSheet!$V$34,0))))</f>
        <v>None</v>
      </c>
      <c r="J170" s="57" t="s">
        <v>361</v>
      </c>
      <c r="K170" s="66">
        <f>IF(J170="no",0,IF(OR(F170="None",F170="Cheval",F170="Legend",F170="Mystery",F170="Prophecy",F170="TsukumoGami"),0,IF(F170="Varies","V",IF(AND(G170=0,CharacterSheet!$R$36="No"),0,IF(AND(G170=0,CharacterSheet!$R$36="Yes"),LOOKUP(D170,Reference!$N$2:$N$10,Reference!$O$2:$O$10),IF(G170&gt;0,LOOKUP(D170,Reference!$N$2:$N$10,Reference!$P$2:$P$10),"ERROR"))))))</f>
        <v>0</v>
      </c>
      <c r="L170" s="66" t="s">
        <v>361</v>
      </c>
      <c r="M170" s="66">
        <f>IF(E170="V","V",IF(J170="Yes",K170,0)+IF(L170="Yes",CharacterSheet!D150,0))</f>
        <v>0</v>
      </c>
      <c r="N170" s="66" t="s">
        <v>1072</v>
      </c>
      <c r="O170" s="66" t="s">
        <v>508</v>
      </c>
      <c r="P170" s="66" t="s">
        <v>1068</v>
      </c>
      <c r="Q170" s="188">
        <v>68</v>
      </c>
    </row>
    <row r="171" spans="1:17" x14ac:dyDescent="0.25">
      <c r="A171" s="87" t="s">
        <v>1523</v>
      </c>
      <c r="B171" s="66" t="s">
        <v>380</v>
      </c>
      <c r="C171" s="66">
        <v>4</v>
      </c>
      <c r="D171" s="66" t="s">
        <v>14</v>
      </c>
      <c r="E171" s="66">
        <f>LOOKUP(D171,Reference!$B$33:$B$46,Reference!$C$33:$C$46)</f>
        <v>1</v>
      </c>
      <c r="F171" s="66" t="s">
        <v>42</v>
      </c>
      <c r="G171" s="66">
        <f>LOOKUP(F171,Reference!$D$32:$D$55,Reference!$E$32:$E$55)</f>
        <v>0</v>
      </c>
      <c r="H171" s="66" t="s">
        <v>361</v>
      </c>
      <c r="I171" s="57">
        <f>IF(OR(E171="V",G171="V"),"V",IF(AND(E171="None",G171="None"),"None",(IF(E171="None",0,E171)+IF(G171="None",0,G171)+IF(H171="Yes",CharacterSheet!$V$34,0))))</f>
        <v>1</v>
      </c>
      <c r="J171" s="57" t="s">
        <v>360</v>
      </c>
      <c r="K171" s="66">
        <f>IF(J171="no",0,IF(OR(F171="None",F171="Cheval",F171="Legend",F171="Mystery",F171="Prophecy",F171="TsukumoGami"),0,IF(F171="Varies","V",IF(AND(G171=0,CharacterSheet!$R$36="No"),0,IF(AND(G171=0,CharacterSheet!$R$36="Yes"),LOOKUP(D171,Reference!$N$2:$N$10,Reference!$O$2:$O$10),IF(G171&gt;0,LOOKUP(D171,Reference!$N$2:$N$10,Reference!$P$2:$P$10),"ERROR"))))))</f>
        <v>0</v>
      </c>
      <c r="L171" s="66" t="s">
        <v>361</v>
      </c>
      <c r="M171" s="66">
        <f>IF(E171="V","V",IF(J171="Yes",K171,0)+IF(L171="Yes",CharacterSheet!D286,0))</f>
        <v>0</v>
      </c>
      <c r="N171" s="66" t="s">
        <v>1630</v>
      </c>
      <c r="O171" s="66" t="s">
        <v>1553</v>
      </c>
      <c r="P171" s="66" t="s">
        <v>1507</v>
      </c>
      <c r="Q171" s="188">
        <v>35</v>
      </c>
    </row>
    <row r="172" spans="1:17" x14ac:dyDescent="0.25">
      <c r="A172" s="86" t="s">
        <v>1429</v>
      </c>
      <c r="B172" s="39" t="s">
        <v>379</v>
      </c>
      <c r="C172" s="39">
        <v>10</v>
      </c>
      <c r="D172" s="66" t="s">
        <v>30</v>
      </c>
      <c r="E172" s="66">
        <f>LOOKUP(D172,Reference!$B$33:$B$46,Reference!$C$33:$C$46)</f>
        <v>1</v>
      </c>
      <c r="F172" s="66" t="s">
        <v>58</v>
      </c>
      <c r="G172" s="66">
        <f>LOOKUP(F172,Reference!$D$32:$D$55,Reference!$E$32:$E$55)</f>
        <v>0</v>
      </c>
      <c r="H172" s="66" t="s">
        <v>361</v>
      </c>
      <c r="I172" s="57">
        <f>IF(OR(E172="V",G172="V"),"V",IF(AND(E172="None",G172="None"),"None",(IF(E172="None",0,E172)+IF(G172="None",0,G172)+IF(H172="Yes",CharacterSheet!$V$34,0))))</f>
        <v>1</v>
      </c>
      <c r="J172" s="57" t="s">
        <v>360</v>
      </c>
      <c r="K172" s="66">
        <f>IF(J172="no",0,IF(OR(F172="None",F172="Cheval",F172="Legend",F172="Mystery",F172="Prophecy",F172="TsukumoGami"),0,IF(F172="Varies","V",IF(AND(G172=0,CharacterSheet!$R$36="No"),0,IF(AND(G172=0,CharacterSheet!$R$36="Yes"),LOOKUP(D172,Reference!$N$2:$N$10,Reference!$O$2:$O$10),IF(G172&gt;0,LOOKUP(D172,Reference!$N$2:$N$10,Reference!$P$2:$P$10),"ERROR"))))))</f>
        <v>0</v>
      </c>
      <c r="L172" s="66" t="s">
        <v>361</v>
      </c>
      <c r="M172" s="66">
        <f>IF(E172="V","V",IF(J172="Yes",K172,0)+IF(L172="Yes",CharacterSheet!D355,0))</f>
        <v>0</v>
      </c>
      <c r="N172" s="66" t="s">
        <v>1712</v>
      </c>
      <c r="O172" s="66" t="s">
        <v>1713</v>
      </c>
      <c r="P172" s="66" t="s">
        <v>1068</v>
      </c>
      <c r="Q172" s="188">
        <v>78</v>
      </c>
    </row>
    <row r="173" spans="1:17" x14ac:dyDescent="0.25">
      <c r="A173" s="86" t="s">
        <v>1279</v>
      </c>
      <c r="B173" s="39" t="s">
        <v>369</v>
      </c>
      <c r="C173" s="39">
        <v>9</v>
      </c>
      <c r="D173" s="66" t="s">
        <v>16</v>
      </c>
      <c r="E173" s="66">
        <f>LOOKUP(D173,Reference!$B$33:$B$46,Reference!$C$33:$C$46)</f>
        <v>1</v>
      </c>
      <c r="F173" s="66" t="s">
        <v>49</v>
      </c>
      <c r="G173" s="66">
        <f>LOOKUP(F173,Reference!$D$32:$D$55,Reference!$E$32:$E$55)</f>
        <v>0</v>
      </c>
      <c r="H173" s="66" t="s">
        <v>361</v>
      </c>
      <c r="I173" s="57">
        <f>IF(OR(E173="V",G173="V"),"V",IF(AND(E173="None",G173="None"),"None",(IF(E173="None",0,E173)+IF(G173="None",0,G173)+IF(H173="Yes",CharacterSheet!$V$34,0))))</f>
        <v>1</v>
      </c>
      <c r="J173" s="57" t="s">
        <v>360</v>
      </c>
      <c r="K173" s="66">
        <f>IF(J173="no",0,IF(OR(F173="None",F173="Cheval",F173="Legend",F173="Mystery",F173="Prophecy",F173="TsukumoGami"),0,IF(F173="Varies","V",IF(AND(G173=0,CharacterSheet!$R$36="No"),0,IF(AND(G173=0,CharacterSheet!$R$36="Yes"),LOOKUP(D173,Reference!$N$2:$N$10,Reference!$O$2:$O$10),IF(G173&gt;0,LOOKUP(D173,Reference!$N$2:$N$10,Reference!$P$2:$P$10),"ERROR"))))))</f>
        <v>0</v>
      </c>
      <c r="L173" s="66" t="s">
        <v>361</v>
      </c>
      <c r="M173" s="66">
        <f>IF(E173="V","V",IF(J173="Yes",K173,0)+IF(L173="Yes",CharacterSheet!D313,0))</f>
        <v>0</v>
      </c>
      <c r="N173" s="66" t="s">
        <v>1086</v>
      </c>
      <c r="O173" s="66" t="s">
        <v>1572</v>
      </c>
      <c r="P173" s="66" t="s">
        <v>5</v>
      </c>
      <c r="Q173" s="188">
        <v>85</v>
      </c>
    </row>
    <row r="174" spans="1:17" x14ac:dyDescent="0.25">
      <c r="A174" s="86" t="s">
        <v>1342</v>
      </c>
      <c r="B174" s="39" t="s">
        <v>163</v>
      </c>
      <c r="C174" s="39">
        <v>9</v>
      </c>
      <c r="D174" s="66" t="s">
        <v>508</v>
      </c>
      <c r="E174" s="66" t="str">
        <f>LOOKUP(D174,Reference!$B$33:$B$46,Reference!$C$33:$C$46)</f>
        <v>None</v>
      </c>
      <c r="F174" s="66" t="s">
        <v>508</v>
      </c>
      <c r="G174" s="66" t="str">
        <f>LOOKUP(F174,Reference!$D$32:$D$55,Reference!$E$32:$E$55)</f>
        <v>None</v>
      </c>
      <c r="H174" s="66" t="s">
        <v>361</v>
      </c>
      <c r="I174" s="57" t="str">
        <f>IF(OR(E174="V",G174="V"),"V",IF(AND(E174="None",G174="None"),"None",(IF(E174="None",0,E174)+IF(G174="None",0,G174)+IF(H174="Yes",CharacterSheet!$V$34,0))))</f>
        <v>None</v>
      </c>
      <c r="J174" s="57" t="s">
        <v>361</v>
      </c>
      <c r="K174" s="66">
        <f>IF(J174="no",0,IF(OR(F174="None",F174="Cheval",F174="Legend",F174="Mystery",F174="Prophecy",F174="TsukumoGami"),0,IF(F174="Varies","V",IF(AND(G174=0,CharacterSheet!$R$36="No"),0,IF(AND(G174=0,CharacterSheet!$R$36="Yes"),LOOKUP(D174,Reference!$N$2:$N$10,Reference!$O$2:$O$10),IF(G174&gt;0,LOOKUP(D174,Reference!$N$2:$N$10,Reference!$P$2:$P$10),"ERROR"))))))</f>
        <v>0</v>
      </c>
      <c r="L174" s="66" t="s">
        <v>361</v>
      </c>
      <c r="M174" s="66">
        <f>IF(E174="V","V",IF(J174="Yes",K174,0)+IF(L174="Yes",CharacterSheet!D102,0))</f>
        <v>0</v>
      </c>
      <c r="N174" s="66" t="s">
        <v>1673</v>
      </c>
      <c r="O174" s="66" t="s">
        <v>508</v>
      </c>
      <c r="P174" s="66" t="s">
        <v>5</v>
      </c>
      <c r="Q174" s="188">
        <v>108</v>
      </c>
    </row>
    <row r="175" spans="1:17" x14ac:dyDescent="0.25">
      <c r="A175" s="86" t="s">
        <v>1479</v>
      </c>
      <c r="B175" s="39" t="s">
        <v>196</v>
      </c>
      <c r="C175" s="39">
        <v>5</v>
      </c>
      <c r="D175" s="66" t="s">
        <v>20</v>
      </c>
      <c r="E175" s="66">
        <f>LOOKUP(D175,Reference!$B$33:$B$46,Reference!$C$33:$C$46)</f>
        <v>1</v>
      </c>
      <c r="F175" s="66" t="s">
        <v>51</v>
      </c>
      <c r="G175" s="66">
        <f>LOOKUP(F175,Reference!$D$32:$D$55,Reference!$E$32:$E$55)</f>
        <v>0</v>
      </c>
      <c r="H175" s="66" t="s">
        <v>361</v>
      </c>
      <c r="I175" s="57">
        <f>IF(OR(E175="V",G175="V"),"V",IF(AND(E175="None",G175="None"),"None",(IF(E175="None",0,E175)+IF(G175="None",0,G175)+IF(H175="Yes",CharacterSheet!$V$34,0))))</f>
        <v>1</v>
      </c>
      <c r="J175" s="57" t="s">
        <v>360</v>
      </c>
      <c r="K175" s="66">
        <f>IF(J175="no",0,IF(OR(F175="None",F175="Cheval",F175="Legend",F175="Mystery",F175="Prophecy",F175="TsukumoGami"),0,IF(F175="Varies","V",IF(AND(G175=0,CharacterSheet!$R$36="No"),0,IF(AND(G175=0,CharacterSheet!$R$36="Yes"),LOOKUP(D175,Reference!$N$2:$N$10,Reference!$O$2:$O$10),IF(G175&gt;0,LOOKUP(D175,Reference!$N$2:$N$10,Reference!$P$2:$P$10),"ERROR"))))))</f>
        <v>0</v>
      </c>
      <c r="L175" s="66" t="s">
        <v>361</v>
      </c>
      <c r="M175" s="66">
        <f>IF(E175="V","V",IF(J175="Yes",K175,0)+IF(L175="Yes",CharacterSheet!D85,0))</f>
        <v>0</v>
      </c>
      <c r="N175" s="66" t="s">
        <v>1689</v>
      </c>
      <c r="O175" s="66" t="s">
        <v>1687</v>
      </c>
      <c r="P175" s="66" t="s">
        <v>1068</v>
      </c>
      <c r="Q175" s="188">
        <v>245</v>
      </c>
    </row>
    <row r="176" spans="1:17" x14ac:dyDescent="0.25">
      <c r="A176" s="86" t="s">
        <v>1480</v>
      </c>
      <c r="B176" s="39" t="s">
        <v>196</v>
      </c>
      <c r="C176" s="39">
        <v>6</v>
      </c>
      <c r="D176" s="66" t="s">
        <v>20</v>
      </c>
      <c r="E176" s="66">
        <f>LOOKUP(D176,Reference!$B$33:$B$46,Reference!$C$33:$C$46)</f>
        <v>1</v>
      </c>
      <c r="F176" s="66" t="s">
        <v>43</v>
      </c>
      <c r="G176" s="66">
        <f>LOOKUP(F176,Reference!$D$32:$D$55,Reference!$E$32:$E$55)</f>
        <v>0</v>
      </c>
      <c r="H176" s="66" t="s">
        <v>361</v>
      </c>
      <c r="I176" s="57">
        <f>IF(OR(E176="V",G176="V"),"V",IF(AND(E176="None",G176="None"),"None",(IF(E176="None",0,E176)+IF(G176="None",0,G176)+IF(H176="Yes",CharacterSheet!$V$34,0))))</f>
        <v>1</v>
      </c>
      <c r="J176" s="57" t="s">
        <v>360</v>
      </c>
      <c r="K176" s="66">
        <f>IF(J176="no",0,IF(OR(F176="None",F176="Cheval",F176="Legend",F176="Mystery",F176="Prophecy",F176="TsukumoGami"),0,IF(F176="Varies","V",IF(AND(G176=0,CharacterSheet!$R$36="No"),0,IF(AND(G176=0,CharacterSheet!$R$36="Yes"),LOOKUP(D176,Reference!$N$2:$N$10,Reference!$O$2:$O$10),IF(G176&gt;0,LOOKUP(D176,Reference!$N$2:$N$10,Reference!$P$2:$P$10),"ERROR"))))))</f>
        <v>0</v>
      </c>
      <c r="L176" s="66" t="s">
        <v>361</v>
      </c>
      <c r="M176" s="66">
        <f>IF(E176="V","V",IF(J176="Yes",K176,0)+IF(L176="Yes",CharacterSheet!D86,0))</f>
        <v>0</v>
      </c>
      <c r="N176" s="66" t="s">
        <v>1716</v>
      </c>
      <c r="O176" s="66" t="s">
        <v>1730</v>
      </c>
      <c r="P176" s="66" t="s">
        <v>1068</v>
      </c>
      <c r="Q176" s="188">
        <v>246</v>
      </c>
    </row>
    <row r="177" spans="1:17" x14ac:dyDescent="0.25">
      <c r="A177" s="86" t="s">
        <v>1481</v>
      </c>
      <c r="B177" s="39" t="s">
        <v>196</v>
      </c>
      <c r="C177" s="39">
        <v>7</v>
      </c>
      <c r="D177" s="66" t="s">
        <v>14</v>
      </c>
      <c r="E177" s="66">
        <f>LOOKUP(D177,Reference!$B$33:$B$46,Reference!$C$33:$C$46)</f>
        <v>1</v>
      </c>
      <c r="F177" s="66" t="s">
        <v>42</v>
      </c>
      <c r="G177" s="66">
        <f>LOOKUP(F177,Reference!$D$32:$D$55,Reference!$E$32:$E$55)</f>
        <v>0</v>
      </c>
      <c r="H177" s="66" t="s">
        <v>361</v>
      </c>
      <c r="I177" s="57">
        <f>IF(OR(E177="V",G177="V"),"V",IF(AND(E177="None",G177="None"),"None",(IF(E177="None",0,E177)+IF(G177="None",0,G177)+IF(H177="Yes",CharacterSheet!$V$34,0))))</f>
        <v>1</v>
      </c>
      <c r="J177" s="57" t="s">
        <v>360</v>
      </c>
      <c r="K177" s="66">
        <f>IF(J177="no",0,IF(OR(F177="None",F177="Cheval",F177="Legend",F177="Mystery",F177="Prophecy",F177="TsukumoGami"),0,IF(F177="Varies","V",IF(AND(G177=0,CharacterSheet!$R$36="No"),0,IF(AND(G177=0,CharacterSheet!$R$36="Yes"),LOOKUP(D177,Reference!$N$2:$N$10,Reference!$O$2:$O$10),IF(G177&gt;0,LOOKUP(D177,Reference!$N$2:$N$10,Reference!$P$2:$P$10),"ERROR"))))))</f>
        <v>0</v>
      </c>
      <c r="L177" s="66" t="s">
        <v>361</v>
      </c>
      <c r="M177" s="66">
        <f>IF(E177="V","V",IF(J177="Yes",K177,0)+IF(L177="Yes",CharacterSheet!D143,0))</f>
        <v>0</v>
      </c>
      <c r="N177" s="66" t="s">
        <v>1716</v>
      </c>
      <c r="O177" s="66" t="s">
        <v>1553</v>
      </c>
      <c r="P177" s="66" t="s">
        <v>1068</v>
      </c>
      <c r="Q177" s="188">
        <v>246</v>
      </c>
    </row>
    <row r="178" spans="1:17" x14ac:dyDescent="0.25">
      <c r="A178" s="86" t="s">
        <v>1478</v>
      </c>
      <c r="B178" s="39" t="s">
        <v>196</v>
      </c>
      <c r="C178" s="39">
        <v>4</v>
      </c>
      <c r="D178" s="66" t="s">
        <v>16</v>
      </c>
      <c r="E178" s="66">
        <f>LOOKUP(D178,Reference!$B$33:$B$46,Reference!$C$33:$C$46)</f>
        <v>1</v>
      </c>
      <c r="F178" s="66" t="s">
        <v>47</v>
      </c>
      <c r="G178" s="66">
        <f>LOOKUP(F178,Reference!$D$32:$D$55,Reference!$E$32:$E$55)</f>
        <v>0</v>
      </c>
      <c r="H178" s="66" t="s">
        <v>361</v>
      </c>
      <c r="I178" s="57">
        <f>IF(OR(E178="V",G178="V"),"V",IF(AND(E178="None",G178="None"),"None",(IF(E178="None",0,E178)+IF(G178="None",0,G178)+IF(H178="Yes",CharacterSheet!$V$34,0))))</f>
        <v>1</v>
      </c>
      <c r="J178" s="57" t="s">
        <v>360</v>
      </c>
      <c r="K178" s="66">
        <f>IF(J178="no",0,IF(OR(F178="None",F178="Cheval",F178="Legend",F178="Mystery",F178="Prophecy",F178="TsukumoGami"),0,IF(F178="Varies","V",IF(AND(G178=0,CharacterSheet!$R$36="No"),0,IF(AND(G178=0,CharacterSheet!$R$36="Yes"),LOOKUP(D178,Reference!$N$2:$N$10,Reference!$O$2:$O$10),IF(G178&gt;0,LOOKUP(D178,Reference!$N$2:$N$10,Reference!$P$2:$P$10),"ERROR"))))))</f>
        <v>0</v>
      </c>
      <c r="L178" s="66" t="s">
        <v>361</v>
      </c>
      <c r="M178" s="66">
        <f>IF(E178="V","V",IF(J178="Yes",K178,0)+IF(L178="Yes",CharacterSheet!D83,0))</f>
        <v>0</v>
      </c>
      <c r="N178" s="66" t="s">
        <v>1689</v>
      </c>
      <c r="O178" s="66" t="s">
        <v>1711</v>
      </c>
      <c r="P178" s="66" t="s">
        <v>1068</v>
      </c>
      <c r="Q178" s="188">
        <v>245</v>
      </c>
    </row>
    <row r="179" spans="1:17" x14ac:dyDescent="0.25">
      <c r="A179" s="86" t="s">
        <v>1477</v>
      </c>
      <c r="B179" s="39" t="s">
        <v>196</v>
      </c>
      <c r="C179" s="39">
        <v>3</v>
      </c>
      <c r="D179" s="66" t="s">
        <v>16</v>
      </c>
      <c r="E179" s="66">
        <f>LOOKUP(D179,Reference!$B$33:$B$46,Reference!$C$33:$C$46)</f>
        <v>1</v>
      </c>
      <c r="F179" s="66" t="s">
        <v>41</v>
      </c>
      <c r="G179" s="66">
        <f>LOOKUP(F179,Reference!$D$32:$D$55,Reference!$E$32:$E$55)</f>
        <v>0</v>
      </c>
      <c r="H179" s="66" t="s">
        <v>361</v>
      </c>
      <c r="I179" s="57">
        <f>IF(OR(E179="V",G179="V"),"V",IF(AND(E179="None",G179="None"),"None",(IF(E179="None",0,E179)+IF(G179="None",0,G179)+IF(H179="Yes",CharacterSheet!$V$34,0))))</f>
        <v>1</v>
      </c>
      <c r="J179" s="57" t="s">
        <v>360</v>
      </c>
      <c r="K179" s="66">
        <f>IF(J179="no",0,IF(OR(F179="None",F179="Cheval",F179="Legend",F179="Mystery",F179="Prophecy",F179="TsukumoGami"),0,IF(F179="Varies","V",IF(AND(G179=0,CharacterSheet!$R$36="No"),0,IF(AND(G179=0,CharacterSheet!$R$36="Yes"),LOOKUP(D179,Reference!$N$2:$N$10,Reference!$O$2:$O$10),IF(G179&gt;0,LOOKUP(D179,Reference!$N$2:$N$10,Reference!$P$2:$P$10),"ERROR"))))))</f>
        <v>0</v>
      </c>
      <c r="L179" s="66" t="s">
        <v>361</v>
      </c>
      <c r="M179" s="66">
        <f>IF(E179="V","V",IF(J179="Yes",K179,0)+IF(L179="Yes",CharacterSheet!D453,0))</f>
        <v>0</v>
      </c>
      <c r="N179" s="66" t="s">
        <v>1689</v>
      </c>
      <c r="O179" s="66" t="s">
        <v>1570</v>
      </c>
      <c r="P179" s="66" t="s">
        <v>1068</v>
      </c>
      <c r="Q179" s="188">
        <v>245</v>
      </c>
    </row>
    <row r="180" spans="1:17" x14ac:dyDescent="0.25">
      <c r="A180" s="86" t="s">
        <v>1452</v>
      </c>
      <c r="B180" s="39" t="s">
        <v>177</v>
      </c>
      <c r="C180" s="39">
        <v>9</v>
      </c>
      <c r="D180" s="66" t="s">
        <v>1086</v>
      </c>
      <c r="E180" s="66" t="str">
        <f>LOOKUP(D180,Reference!$B$33:$B$46,Reference!$C$33:$C$46)</f>
        <v>V</v>
      </c>
      <c r="F180" s="66" t="s">
        <v>1086</v>
      </c>
      <c r="G180" s="66" t="str">
        <f>LOOKUP(F180,Reference!$D$32:$D$55,Reference!$E$32:$E$55)</f>
        <v>V</v>
      </c>
      <c r="H180" s="66" t="s">
        <v>360</v>
      </c>
      <c r="I180" s="57" t="str">
        <f>IF(OR(E180="V",G180="V"),"V",IF(AND(E180="None",G180="None"),"None",(IF(E180="None",0,E180)+IF(G180="None",0,G180)+IF(H180="Yes",CharacterSheet!$V$34,0))))</f>
        <v>V</v>
      </c>
      <c r="J180" s="57" t="s">
        <v>360</v>
      </c>
      <c r="K180" s="66" t="str">
        <f>IF(J180="no",0,IF(OR(F180="None",F180="Cheval",F180="Legend",F180="Mystery",F180="Prophecy",F180="TsukumoGami"),0,IF(F180="Varies","V",IF(AND(G180=0,CharacterSheet!$R$36="No"),0,IF(AND(G180=0,CharacterSheet!$R$36="Yes"),LOOKUP(D180,Reference!$N$2:$N$10,Reference!$O$2:$O$10),IF(G180&gt;0,LOOKUP(D180,Reference!$N$2:$N$10,Reference!$P$2:$P$10),"ERROR"))))))</f>
        <v>V</v>
      </c>
      <c r="L180" s="66" t="s">
        <v>361</v>
      </c>
      <c r="M180" s="66" t="str">
        <f>IF(E180="V","V",IF(J180="Yes",K180,0)+IF(L180="Yes",CharacterSheet!D297,0))</f>
        <v>V</v>
      </c>
      <c r="N180" s="66" t="s">
        <v>1652</v>
      </c>
      <c r="O180" s="66" t="s">
        <v>1086</v>
      </c>
      <c r="P180" s="66" t="s">
        <v>1068</v>
      </c>
      <c r="Q180" s="188">
        <v>98</v>
      </c>
    </row>
    <row r="181" spans="1:17" x14ac:dyDescent="0.25">
      <c r="A181" s="86" t="s">
        <v>1102</v>
      </c>
      <c r="B181" s="39" t="s">
        <v>371</v>
      </c>
      <c r="C181" s="39">
        <v>1</v>
      </c>
      <c r="D181" s="66" t="s">
        <v>508</v>
      </c>
      <c r="E181" s="66" t="str">
        <f>LOOKUP(D181,Reference!$B$33:$B$46,Reference!$C$33:$C$46)</f>
        <v>None</v>
      </c>
      <c r="F181" s="66" t="s">
        <v>508</v>
      </c>
      <c r="G181" s="66" t="str">
        <f>LOOKUP(F181,Reference!$D$32:$D$55,Reference!$E$32:$E$55)</f>
        <v>None</v>
      </c>
      <c r="H181" s="66" t="s">
        <v>361</v>
      </c>
      <c r="I181" s="57" t="str">
        <f>IF(OR(E181="V",G181="V"),"V",IF(AND(E181="None",G181="None"),"None",(IF(E181="None",0,E181)+IF(G181="None",0,G181)+IF(H181="Yes",CharacterSheet!$V$34,0))))</f>
        <v>None</v>
      </c>
      <c r="J181" s="57" t="s">
        <v>361</v>
      </c>
      <c r="K181" s="66">
        <f>IF(J181="no",0,IF(OR(F181="None",F181="Cheval",F181="Legend",F181="Mystery",F181="Prophecy",F181="TsukumoGami"),0,IF(F181="Varies","V",IF(AND(G181=0,CharacterSheet!$R$36="No"),0,IF(AND(G181=0,CharacterSheet!$R$36="Yes"),LOOKUP(D181,Reference!$N$2:$N$10,Reference!$O$2:$O$10),IF(G181&gt;0,LOOKUP(D181,Reference!$N$2:$N$10,Reference!$P$2:$P$10),"ERROR"))))))</f>
        <v>0</v>
      </c>
      <c r="L181" s="66" t="s">
        <v>361</v>
      </c>
      <c r="M181" s="66">
        <f>IF(E181="V","V",IF(J181="Yes",K181,0)+IF(L181="Yes",CharacterSheet!#REF!,0))</f>
        <v>0</v>
      </c>
      <c r="N181" s="66" t="s">
        <v>1644</v>
      </c>
      <c r="O181" s="66" t="s">
        <v>508</v>
      </c>
      <c r="P181" s="66" t="s">
        <v>141</v>
      </c>
      <c r="Q181" s="188">
        <v>142</v>
      </c>
    </row>
    <row r="182" spans="1:17" x14ac:dyDescent="0.25">
      <c r="A182" s="86" t="s">
        <v>1413</v>
      </c>
      <c r="B182" s="39" t="s">
        <v>371</v>
      </c>
      <c r="C182" s="39">
        <v>3</v>
      </c>
      <c r="D182" s="66" t="s">
        <v>508</v>
      </c>
      <c r="E182" s="66" t="str">
        <f>LOOKUP(D182,Reference!$B$33:$B$46,Reference!$C$33:$C$46)</f>
        <v>None</v>
      </c>
      <c r="F182" s="66" t="s">
        <v>508</v>
      </c>
      <c r="G182" s="66" t="str">
        <f>LOOKUP(F182,Reference!$D$32:$D$55,Reference!$E$32:$E$55)</f>
        <v>None</v>
      </c>
      <c r="H182" s="66" t="s">
        <v>361</v>
      </c>
      <c r="I182" s="57" t="str">
        <f>IF(OR(E182="V",G182="V"),"V",IF(AND(E182="None",G182="None"),"None",(IF(E182="None",0,E182)+IF(G182="None",0,G182)+IF(H182="Yes",CharacterSheet!$V$34,0))))</f>
        <v>None</v>
      </c>
      <c r="J182" s="57" t="s">
        <v>361</v>
      </c>
      <c r="K182" s="66">
        <f>IF(J182="no",0,IF(OR(F182="None",F182="Cheval",F182="Legend",F182="Mystery",F182="Prophecy",F182="TsukumoGami"),0,IF(F182="Varies","V",IF(AND(G182=0,CharacterSheet!$R$36="No"),0,IF(AND(G182=0,CharacterSheet!$R$36="Yes"),LOOKUP(D182,Reference!$N$2:$N$10,Reference!$O$2:$O$10),IF(G182&gt;0,LOOKUP(D182,Reference!$N$2:$N$10,Reference!$P$2:$P$10),"ERROR"))))))</f>
        <v>0</v>
      </c>
      <c r="L182" s="66" t="s">
        <v>361</v>
      </c>
      <c r="M182" s="66">
        <f>IF(E182="V","V",IF(J182="Yes",K182,0)+IF(L182="Yes",CharacterSheet!D155,0))</f>
        <v>0</v>
      </c>
      <c r="N182" s="66" t="s">
        <v>1076</v>
      </c>
      <c r="O182" s="66" t="s">
        <v>508</v>
      </c>
      <c r="P182" s="66" t="s">
        <v>1068</v>
      </c>
      <c r="Q182" s="188">
        <v>73</v>
      </c>
    </row>
    <row r="183" spans="1:17" x14ac:dyDescent="0.25">
      <c r="A183" s="86" t="s">
        <v>1468</v>
      </c>
      <c r="B183" s="39" t="s">
        <v>194</v>
      </c>
      <c r="C183" s="39">
        <v>4</v>
      </c>
      <c r="D183" s="66" t="s">
        <v>16</v>
      </c>
      <c r="E183" s="66">
        <f>LOOKUP(D183,Reference!$B$33:$B$46,Reference!$C$33:$C$46)</f>
        <v>1</v>
      </c>
      <c r="F183" s="66" t="s">
        <v>43</v>
      </c>
      <c r="G183" s="66">
        <f>LOOKUP(F183,Reference!$D$32:$D$55,Reference!$E$32:$E$55)</f>
        <v>0</v>
      </c>
      <c r="H183" s="66" t="s">
        <v>361</v>
      </c>
      <c r="I183" s="57">
        <f>IF(OR(E183="V",G183="V"),"V",IF(AND(E183="None",G183="None"),"None",(IF(E183="None",0,E183)+IF(G183="None",0,G183)+IF(H183="Yes",CharacterSheet!$V$34,0))))</f>
        <v>1</v>
      </c>
      <c r="J183" s="57" t="s">
        <v>360</v>
      </c>
      <c r="K183" s="66">
        <f>IF(J183="no",0,IF(OR(F183="None",F183="Cheval",F183="Legend",F183="Mystery",F183="Prophecy",F183="TsukumoGami"),0,IF(F183="Varies","V",IF(AND(G183=0,CharacterSheet!$R$36="No"),0,IF(AND(G183=0,CharacterSheet!$R$36="Yes"),LOOKUP(D183,Reference!$N$2:$N$10,Reference!$O$2:$O$10),IF(G183&gt;0,LOOKUP(D183,Reference!$N$2:$N$10,Reference!$P$2:$P$10),"ERROR"))))))</f>
        <v>0</v>
      </c>
      <c r="L183" s="66" t="s">
        <v>361</v>
      </c>
      <c r="M183" s="66">
        <f>IF(E183="V","V",IF(J183="Yes",K183,0)+IF(L183="Yes",CharacterSheet!D73,0))</f>
        <v>0</v>
      </c>
      <c r="N183" s="66" t="s">
        <v>1076</v>
      </c>
      <c r="O183" s="66" t="s">
        <v>1692</v>
      </c>
      <c r="P183" s="66" t="s">
        <v>1068</v>
      </c>
      <c r="Q183" s="188">
        <v>229</v>
      </c>
    </row>
    <row r="184" spans="1:17" x14ac:dyDescent="0.25">
      <c r="A184" s="86" t="s">
        <v>1115</v>
      </c>
      <c r="B184" s="39" t="s">
        <v>374</v>
      </c>
      <c r="C184" s="39">
        <v>2</v>
      </c>
      <c r="D184" s="66" t="s">
        <v>17</v>
      </c>
      <c r="E184" s="66">
        <f>LOOKUP(D184,Reference!$B$33:$B$46,Reference!$C$33:$C$46)</f>
        <v>1</v>
      </c>
      <c r="F184" s="66" t="s">
        <v>43</v>
      </c>
      <c r="G184" s="66">
        <f>LOOKUP(F184,Reference!$D$32:$D$55,Reference!$E$32:$E$55)</f>
        <v>0</v>
      </c>
      <c r="H184" s="66" t="s">
        <v>361</v>
      </c>
      <c r="I184" s="57">
        <f>IF(OR(E184="V",G184="V"),"V",IF(AND(E184="None",G184="None"),"None",(IF(E184="None",0,E184)+IF(G184="None",0,G184)+IF(H184="Yes",CharacterSheet!$V$34,0))))</f>
        <v>1</v>
      </c>
      <c r="J184" s="57" t="s">
        <v>360</v>
      </c>
      <c r="K184" s="66">
        <f>IF(J184="no",0,IF(OR(F184="None",F184="Cheval",F184="Legend",F184="Mystery",F184="Prophecy",F184="TsukumoGami"),0,IF(F184="Varies","V",IF(AND(G184=0,CharacterSheet!$R$36="No"),0,IF(AND(G184=0,CharacterSheet!$R$36="Yes"),LOOKUP(D184,Reference!$N$2:$N$10,Reference!$O$2:$O$10),IF(G184&gt;0,LOOKUP(D184,Reference!$N$2:$N$10,Reference!$P$2:$P$10),"ERROR"))))))</f>
        <v>0</v>
      </c>
      <c r="L184" s="66" t="s">
        <v>361</v>
      </c>
      <c r="M184" s="66">
        <f>IF(E184="V","V",IF(J184="Yes",K184,0)+IF(L184="Yes",CharacterSheet!D51,0))</f>
        <v>0</v>
      </c>
      <c r="N184" s="66" t="s">
        <v>1072</v>
      </c>
      <c r="O184" s="66" t="s">
        <v>1555</v>
      </c>
      <c r="P184" s="66" t="s">
        <v>141</v>
      </c>
      <c r="Q184" s="188">
        <v>145</v>
      </c>
    </row>
    <row r="185" spans="1:17" x14ac:dyDescent="0.25">
      <c r="A185" s="86" t="s">
        <v>1420</v>
      </c>
      <c r="B185" s="39" t="s">
        <v>374</v>
      </c>
      <c r="C185" s="39">
        <v>3</v>
      </c>
      <c r="D185" s="66" t="s">
        <v>19</v>
      </c>
      <c r="E185" s="66">
        <f>LOOKUP(D185,Reference!$B$33:$B$46,Reference!$C$33:$C$46)</f>
        <v>1</v>
      </c>
      <c r="F185" s="66" t="s">
        <v>41</v>
      </c>
      <c r="G185" s="66">
        <f>LOOKUP(F185,Reference!$D$32:$D$55,Reference!$E$32:$E$55)</f>
        <v>0</v>
      </c>
      <c r="H185" s="66" t="s">
        <v>361</v>
      </c>
      <c r="I185" s="57">
        <f>IF(OR(E185="V",G185="V"),"V",IF(AND(E185="None",G185="None"),"None",(IF(E185="None",0,E185)+IF(G185="None",0,G185)+IF(H185="Yes",CharacterSheet!$V$34,0))))</f>
        <v>1</v>
      </c>
      <c r="J185" s="57" t="s">
        <v>360</v>
      </c>
      <c r="K185" s="66">
        <f>IF(J185="no",0,IF(OR(F185="None",F185="Cheval",F185="Legend",F185="Mystery",F185="Prophecy",F185="TsukumoGami"),0,IF(F185="Varies","V",IF(AND(G185=0,CharacterSheet!$R$36="No"),0,IF(AND(G185=0,CharacterSheet!$R$36="Yes"),LOOKUP(D185,Reference!$N$2:$N$10,Reference!$O$2:$O$10),IF(G185&gt;0,LOOKUP(D185,Reference!$N$2:$N$10,Reference!$P$2:$P$10),"ERROR"))))))</f>
        <v>0</v>
      </c>
      <c r="L185" s="66" t="s">
        <v>361</v>
      </c>
      <c r="M185" s="66">
        <f>IF(E185="V","V",IF(J185="Yes",K185,0)+IF(L185="Yes",CharacterSheet!D176,0))</f>
        <v>0</v>
      </c>
      <c r="N185" s="66" t="s">
        <v>1072</v>
      </c>
      <c r="O185" s="66" t="s">
        <v>1548</v>
      </c>
      <c r="P185" s="66" t="s">
        <v>1068</v>
      </c>
      <c r="Q185" s="188">
        <v>75</v>
      </c>
    </row>
    <row r="186" spans="1:17" x14ac:dyDescent="0.25">
      <c r="A186" s="86" t="s">
        <v>1181</v>
      </c>
      <c r="B186" s="39" t="s">
        <v>369</v>
      </c>
      <c r="C186" s="39">
        <v>7</v>
      </c>
      <c r="D186" s="66" t="s">
        <v>508</v>
      </c>
      <c r="E186" s="66" t="str">
        <f>LOOKUP(D186,Reference!$B$33:$B$46,Reference!$C$33:$C$46)</f>
        <v>None</v>
      </c>
      <c r="F186" s="66" t="s">
        <v>508</v>
      </c>
      <c r="G186" s="66" t="str">
        <f>LOOKUP(F186,Reference!$D$32:$D$55,Reference!$E$32:$E$55)</f>
        <v>None</v>
      </c>
      <c r="H186" s="66" t="s">
        <v>361</v>
      </c>
      <c r="I186" s="57" t="str">
        <f>IF(OR(E186="V",G186="V"),"V",IF(AND(E186="None",G186="None"),"None",(IF(E186="None",0,E186)+IF(G186="None",0,G186)+IF(H186="Yes",CharacterSheet!$V$34,0))))</f>
        <v>None</v>
      </c>
      <c r="J186" s="57" t="s">
        <v>361</v>
      </c>
      <c r="K186" s="66">
        <f>IF(J186="no",0,IF(OR(F186="None",F186="Cheval",F186="Legend",F186="Mystery",F186="Prophecy",F186="TsukumoGami"),0,IF(F186="Varies","V",IF(AND(G186=0,CharacterSheet!$R$36="No"),0,IF(AND(G186=0,CharacterSheet!$R$36="Yes"),LOOKUP(D186,Reference!$N$2:$N$10,Reference!$O$2:$O$10),IF(G186&gt;0,LOOKUP(D186,Reference!$N$2:$N$10,Reference!$P$2:$P$10),"ERROR"))))))</f>
        <v>0</v>
      </c>
      <c r="L186" s="66" t="s">
        <v>361</v>
      </c>
      <c r="M186" s="66">
        <f>IF(E186="V","V",IF(J186="Yes",K186,0)+IF(L186="Yes",CharacterSheet!D333,0))</f>
        <v>0</v>
      </c>
      <c r="N186" s="66" t="s">
        <v>1625</v>
      </c>
      <c r="O186" s="66" t="s">
        <v>508</v>
      </c>
      <c r="P186" s="66" t="s">
        <v>1067</v>
      </c>
      <c r="Q186" s="188">
        <v>75</v>
      </c>
    </row>
    <row r="187" spans="1:17" x14ac:dyDescent="0.25">
      <c r="A187" s="86" t="s">
        <v>1488</v>
      </c>
      <c r="B187" s="66" t="s">
        <v>192</v>
      </c>
      <c r="C187" s="39">
        <v>3</v>
      </c>
      <c r="D187" s="66" t="s">
        <v>508</v>
      </c>
      <c r="E187" s="66" t="str">
        <f>LOOKUP(D187,Reference!$B$33:$B$46,Reference!$C$33:$C$46)</f>
        <v>None</v>
      </c>
      <c r="F187" s="66" t="s">
        <v>508</v>
      </c>
      <c r="G187" s="66" t="str">
        <f>LOOKUP(F187,Reference!$D$32:$D$55,Reference!$E$32:$E$55)</f>
        <v>None</v>
      </c>
      <c r="H187" s="66" t="s">
        <v>361</v>
      </c>
      <c r="I187" s="57" t="str">
        <f>IF(OR(E187="V",G187="V"),"V",IF(AND(E187="None",G187="None"),"None",(IF(E187="None",0,E187)+IF(G187="None",0,G187)+IF(H187="Yes",CharacterSheet!$V$34,0))))</f>
        <v>None</v>
      </c>
      <c r="J187" s="57" t="s">
        <v>361</v>
      </c>
      <c r="K187" s="66">
        <f>IF(J187="no",0,IF(OR(F187="None",F187="Cheval",F187="Legend",F187="Mystery",F187="Prophecy",F187="TsukumoGami"),0,IF(F187="Varies","V",IF(AND(G187=0,CharacterSheet!$R$36="No"),0,IF(AND(G187=0,CharacterSheet!$R$36="Yes"),LOOKUP(D187,Reference!$N$2:$N$10,Reference!$O$2:$O$10),IF(G187&gt;0,LOOKUP(D187,Reference!$N$2:$N$10,Reference!$P$2:$P$10),"ERROR"))))))</f>
        <v>0</v>
      </c>
      <c r="L187" s="66" t="s">
        <v>361</v>
      </c>
      <c r="M187" s="66">
        <f>IF(E187="V","V",IF(J187="Yes",K187,0)+IF(L187="Yes",CharacterSheet!D463,0))</f>
        <v>0</v>
      </c>
      <c r="N187" s="66" t="s">
        <v>1690</v>
      </c>
      <c r="O187" s="66" t="s">
        <v>508</v>
      </c>
      <c r="P187" s="66" t="s">
        <v>1485</v>
      </c>
      <c r="Q187" s="188">
        <v>15</v>
      </c>
    </row>
    <row r="188" spans="1:17" x14ac:dyDescent="0.25">
      <c r="A188" s="86" t="s">
        <v>1113</v>
      </c>
      <c r="B188" s="39" t="s">
        <v>115</v>
      </c>
      <c r="C188" s="39">
        <v>3</v>
      </c>
      <c r="D188" s="66" t="s">
        <v>14</v>
      </c>
      <c r="E188" s="66">
        <f>LOOKUP(D188,Reference!$B$33:$B$46,Reference!$C$33:$C$46)</f>
        <v>1</v>
      </c>
      <c r="F188" s="66" t="s">
        <v>47</v>
      </c>
      <c r="G188" s="66">
        <f>LOOKUP(F188,Reference!$D$32:$D$55,Reference!$E$32:$E$55)</f>
        <v>0</v>
      </c>
      <c r="H188" s="66" t="s">
        <v>361</v>
      </c>
      <c r="I188" s="57">
        <f>IF(OR(E188="V",G188="V"),"V",IF(AND(E188="None",G188="None"),"None",(IF(E188="None",0,E188)+IF(G188="None",0,G188)+IF(H188="Yes",CharacterSheet!$V$34,0))))</f>
        <v>1</v>
      </c>
      <c r="J188" s="57" t="s">
        <v>360</v>
      </c>
      <c r="K188" s="66">
        <f>IF(J188="no",0,IF(OR(F188="None",F188="Cheval",F188="Legend",F188="Mystery",F188="Prophecy",F188="TsukumoGami"),0,IF(F188="Varies","V",IF(AND(G188=0,CharacterSheet!$R$36="No"),0,IF(AND(G188=0,CharacterSheet!$R$36="Yes"),LOOKUP(D188,Reference!$N$2:$N$10,Reference!$O$2:$O$10),IF(G188&gt;0,LOOKUP(D188,Reference!$N$2:$N$10,Reference!$P$2:$P$10),"ERROR"))))))</f>
        <v>0</v>
      </c>
      <c r="L188" s="66" t="s">
        <v>361</v>
      </c>
      <c r="M188" s="66">
        <f>IF(E188="V","V",IF(J188="Yes",K188,0)+IF(L188="Yes",CharacterSheet!D421,0))</f>
        <v>0</v>
      </c>
      <c r="N188" s="66" t="s">
        <v>1627</v>
      </c>
      <c r="O188" s="66" t="s">
        <v>1554</v>
      </c>
      <c r="P188" s="66" t="s">
        <v>141</v>
      </c>
      <c r="Q188" s="188">
        <v>144</v>
      </c>
    </row>
    <row r="189" spans="1:17" x14ac:dyDescent="0.25">
      <c r="A189" s="86" t="s">
        <v>1442</v>
      </c>
      <c r="B189" s="39" t="s">
        <v>385</v>
      </c>
      <c r="C189" s="39">
        <v>9</v>
      </c>
      <c r="D189" s="66" t="s">
        <v>14</v>
      </c>
      <c r="E189" s="66">
        <f>LOOKUP(D189,Reference!$B$33:$B$46,Reference!$C$33:$C$46)</f>
        <v>1</v>
      </c>
      <c r="F189" s="66" t="s">
        <v>41</v>
      </c>
      <c r="G189" s="66">
        <f>LOOKUP(F189,Reference!$D$32:$D$55,Reference!$E$32:$E$55)</f>
        <v>0</v>
      </c>
      <c r="H189" s="66" t="s">
        <v>361</v>
      </c>
      <c r="I189" s="57">
        <f>IF(OR(E189="V",G189="V"),"V",IF(AND(E189="None",G189="None"),"None",(IF(E189="None",0,E189)+IF(G189="None",0,G189)+IF(H189="Yes",CharacterSheet!$V$34,0))))</f>
        <v>1</v>
      </c>
      <c r="J189" s="57" t="s">
        <v>360</v>
      </c>
      <c r="K189" s="66">
        <f>IF(J189="no",0,IF(OR(F189="None",F189="Cheval",F189="Legend",F189="Mystery",F189="Prophecy",F189="TsukumoGami"),0,IF(F189="Varies","V",IF(AND(G189=0,CharacterSheet!$R$36="No"),0,IF(AND(G189=0,CharacterSheet!$R$36="Yes"),LOOKUP(D189,Reference!$N$2:$N$10,Reference!$O$2:$O$10),IF(G189&gt;0,LOOKUP(D189,Reference!$N$2:$N$10,Reference!$P$2:$P$10),"ERROR"))))))</f>
        <v>0</v>
      </c>
      <c r="L189" s="66" t="s">
        <v>361</v>
      </c>
      <c r="M189" s="66">
        <f>IF(E189="V","V",IF(J189="Yes",K189,0)+IF(L189="Yes",CharacterSheet!D103,0))</f>
        <v>0</v>
      </c>
      <c r="N189" s="66" t="s">
        <v>1704</v>
      </c>
      <c r="O189" s="66" t="s">
        <v>1701</v>
      </c>
      <c r="P189" s="66" t="s">
        <v>1068</v>
      </c>
      <c r="Q189" s="188">
        <v>82</v>
      </c>
    </row>
    <row r="190" spans="1:17" x14ac:dyDescent="0.25">
      <c r="A190" s="86" t="s">
        <v>1425</v>
      </c>
      <c r="B190" s="39" t="s">
        <v>376</v>
      </c>
      <c r="C190" s="39">
        <v>6</v>
      </c>
      <c r="D190" s="66" t="s">
        <v>16</v>
      </c>
      <c r="E190" s="66">
        <f>LOOKUP(D190,Reference!$B$33:$B$46,Reference!$C$33:$C$46)</f>
        <v>1</v>
      </c>
      <c r="F190" s="66" t="s">
        <v>51</v>
      </c>
      <c r="G190" s="66">
        <f>LOOKUP(F190,Reference!$D$32:$D$55,Reference!$E$32:$E$55)</f>
        <v>0</v>
      </c>
      <c r="H190" s="66" t="s">
        <v>361</v>
      </c>
      <c r="I190" s="57">
        <f>IF(OR(E190="V",G190="V"),"V",IF(AND(E190="None",G190="None"),"None",(IF(E190="None",0,E190)+IF(G190="None",0,G190)+IF(H190="Yes",CharacterSheet!$V$34,0))))</f>
        <v>1</v>
      </c>
      <c r="J190" s="57" t="s">
        <v>360</v>
      </c>
      <c r="K190" s="66">
        <f>IF(J190="no",0,IF(OR(F190="None",F190="Cheval",F190="Legend",F190="Mystery",F190="Prophecy",F190="TsukumoGami"),0,IF(F190="Varies","V",IF(AND(G190=0,CharacterSheet!$R$36="No"),0,IF(AND(G190=0,CharacterSheet!$R$36="Yes"),LOOKUP(D190,Reference!$N$2:$N$10,Reference!$O$2:$O$10),IF(G190&gt;0,LOOKUP(D190,Reference!$N$2:$N$10,Reference!$P$2:$P$10),"ERROR"))))))</f>
        <v>0</v>
      </c>
      <c r="L190" s="66" t="s">
        <v>361</v>
      </c>
      <c r="M190" s="66">
        <f>IF(E190="V","V",IF(J190="Yes",K190,0)+IF(L190="Yes",CharacterSheet!D104,0))</f>
        <v>0</v>
      </c>
      <c r="N190" s="66" t="s">
        <v>1077</v>
      </c>
      <c r="O190" s="66" t="s">
        <v>1559</v>
      </c>
      <c r="P190" s="66" t="s">
        <v>1068</v>
      </c>
      <c r="Q190" s="188">
        <v>77</v>
      </c>
    </row>
    <row r="191" spans="1:17" x14ac:dyDescent="0.25">
      <c r="A191" s="86" t="s">
        <v>1239</v>
      </c>
      <c r="B191" s="39" t="s">
        <v>188</v>
      </c>
      <c r="C191" s="39">
        <v>5</v>
      </c>
      <c r="D191" s="66" t="s">
        <v>13</v>
      </c>
      <c r="E191" s="66">
        <f>LOOKUP(D191,Reference!$B$33:$B$46,Reference!$C$33:$C$46)</f>
        <v>1</v>
      </c>
      <c r="F191" s="66" t="s">
        <v>57</v>
      </c>
      <c r="G191" s="66">
        <f>LOOKUP(F191,Reference!$D$32:$D$55,Reference!$E$32:$E$55)</f>
        <v>0</v>
      </c>
      <c r="H191" s="66" t="s">
        <v>361</v>
      </c>
      <c r="I191" s="57">
        <f>IF(OR(E191="V",G191="V"),"V",IF(AND(E191="None",G191="None"),"None",(IF(E191="None",0,E191)+IF(G191="None",0,G191)+IF(H191="Yes",CharacterSheet!$V$34,0))))</f>
        <v>1</v>
      </c>
      <c r="J191" s="57" t="s">
        <v>360</v>
      </c>
      <c r="K191" s="66">
        <f>IF(J191="no",0,IF(OR(F191="None",F191="Cheval",F191="Legend",F191="Mystery",F191="Prophecy",F191="TsukumoGami"),0,IF(F191="Varies","V",IF(AND(G191=0,CharacterSheet!$R$36="No"),0,IF(AND(G191=0,CharacterSheet!$R$36="Yes"),LOOKUP(D191,Reference!$N$2:$N$10,Reference!$O$2:$O$10),IF(G191&gt;0,LOOKUP(D191,Reference!$N$2:$N$10,Reference!$P$2:$P$10),"ERROR"))))))</f>
        <v>0</v>
      </c>
      <c r="L191" s="66" t="s">
        <v>361</v>
      </c>
      <c r="M191" s="66">
        <f>IF(E191="V","V",IF(J191="Yes",K191,0)+IF(L191="Yes",CharacterSheet!D64,0))</f>
        <v>0</v>
      </c>
      <c r="N191" s="66" t="s">
        <v>1072</v>
      </c>
      <c r="O191" s="66" t="s">
        <v>1551</v>
      </c>
      <c r="P191" s="66" t="s">
        <v>1067</v>
      </c>
      <c r="Q191" s="188">
        <v>92</v>
      </c>
    </row>
    <row r="192" spans="1:17" x14ac:dyDescent="0.25">
      <c r="A192" s="86" t="s">
        <v>1128</v>
      </c>
      <c r="B192" s="39" t="s">
        <v>379</v>
      </c>
      <c r="C192" s="39">
        <v>3</v>
      </c>
      <c r="D192" s="66" t="s">
        <v>18</v>
      </c>
      <c r="E192" s="66">
        <f>LOOKUP(D192,Reference!$B$33:$B$46,Reference!$C$33:$C$46)</f>
        <v>1</v>
      </c>
      <c r="F192" s="66" t="s">
        <v>51</v>
      </c>
      <c r="G192" s="66">
        <f>LOOKUP(F192,Reference!$D$32:$D$55,Reference!$E$32:$E$55)</f>
        <v>0</v>
      </c>
      <c r="H192" s="66" t="s">
        <v>361</v>
      </c>
      <c r="I192" s="57">
        <f>IF(OR(E192="V",G192="V"),"V",IF(AND(E192="None",G192="None"),"None",(IF(E192="None",0,E192)+IF(G192="None",0,G192)+IF(H192="Yes",CharacterSheet!$V$34,0))))</f>
        <v>1</v>
      </c>
      <c r="J192" s="57" t="s">
        <v>360</v>
      </c>
      <c r="K192" s="66">
        <f>IF(J192="no",0,IF(OR(F192="None",F192="Cheval",F192="Legend",F192="Mystery",F192="Prophecy",F192="TsukumoGami"),0,IF(F192="Varies","V",IF(AND(G192=0,CharacterSheet!$R$36="No"),0,IF(AND(G192=0,CharacterSheet!$R$36="Yes"),LOOKUP(D192,Reference!$N$2:$N$10,Reference!$O$2:$O$10),IF(G192&gt;0,LOOKUP(D192,Reference!$N$2:$N$10,Reference!$P$2:$P$10),"ERROR"))))))</f>
        <v>0</v>
      </c>
      <c r="L192" s="66" t="s">
        <v>361</v>
      </c>
      <c r="M192" s="66">
        <f>IF(E192="V","V",IF(J192="Yes",K192,0)+IF(L192="Yes",CharacterSheet!D304,0))</f>
        <v>0</v>
      </c>
      <c r="N192" s="66" t="s">
        <v>1072</v>
      </c>
      <c r="O192" s="66" t="s">
        <v>1558</v>
      </c>
      <c r="P192" s="66" t="s">
        <v>141</v>
      </c>
      <c r="Q192" s="188">
        <v>147</v>
      </c>
    </row>
    <row r="193" spans="1:17" x14ac:dyDescent="0.25">
      <c r="A193" s="86" t="s">
        <v>1149</v>
      </c>
      <c r="B193" s="39" t="s">
        <v>163</v>
      </c>
      <c r="C193" s="39">
        <v>3</v>
      </c>
      <c r="D193" s="66" t="s">
        <v>508</v>
      </c>
      <c r="E193" s="66" t="str">
        <f>LOOKUP(D193,Reference!$B$33:$B$46,Reference!$C$33:$C$46)</f>
        <v>None</v>
      </c>
      <c r="F193" s="66" t="s">
        <v>508</v>
      </c>
      <c r="G193" s="66" t="str">
        <f>LOOKUP(F193,Reference!$D$32:$D$55,Reference!$E$32:$E$55)</f>
        <v>None</v>
      </c>
      <c r="H193" s="66" t="s">
        <v>361</v>
      </c>
      <c r="I193" s="57" t="str">
        <f>IF(OR(E193="V",G193="V"),"V",IF(AND(E193="None",G193="None"),"None",(IF(E193="None",0,E193)+IF(G193="None",0,G193)+IF(H193="Yes",CharacterSheet!$V$34,0))))</f>
        <v>None</v>
      </c>
      <c r="J193" s="57" t="s">
        <v>361</v>
      </c>
      <c r="K193" s="66">
        <f>IF(J193="no",0,IF(OR(F193="None",F193="Cheval",F193="Legend",F193="Mystery",F193="Prophecy",F193="TsukumoGami"),0,IF(F193="Varies","V",IF(AND(G193=0,CharacterSheet!$R$36="No"),0,IF(AND(G193=0,CharacterSheet!$R$36="Yes"),LOOKUP(D193,Reference!$N$2:$N$10,Reference!$O$2:$O$10),IF(G193&gt;0,LOOKUP(D193,Reference!$N$2:$N$10,Reference!$P$2:$P$10),"ERROR"))))))</f>
        <v>0</v>
      </c>
      <c r="L193" s="66" t="s">
        <v>361</v>
      </c>
      <c r="M193" s="66">
        <f>IF(E193="V","V",IF(J193="Yes",K193,0)+IF(L193="Yes",CharacterSheet!D328,0))</f>
        <v>0</v>
      </c>
      <c r="N193" s="66" t="s">
        <v>1564</v>
      </c>
      <c r="O193" s="66" t="s">
        <v>508</v>
      </c>
      <c r="P193" s="66" t="s">
        <v>141</v>
      </c>
      <c r="Q193" s="188">
        <v>153</v>
      </c>
    </row>
    <row r="194" spans="1:17" x14ac:dyDescent="0.25">
      <c r="A194" s="86" t="s">
        <v>1383</v>
      </c>
      <c r="B194" s="39" t="s">
        <v>190</v>
      </c>
      <c r="C194" s="39">
        <v>2</v>
      </c>
      <c r="D194" s="66" t="s">
        <v>508</v>
      </c>
      <c r="E194" s="66" t="str">
        <f>LOOKUP(D194,Reference!$B$33:$B$46,Reference!$C$33:$C$46)</f>
        <v>None</v>
      </c>
      <c r="F194" s="66" t="s">
        <v>508</v>
      </c>
      <c r="G194" s="66" t="str">
        <f>LOOKUP(F194,Reference!$D$32:$D$55,Reference!$E$32:$E$55)</f>
        <v>None</v>
      </c>
      <c r="H194" s="66" t="s">
        <v>361</v>
      </c>
      <c r="I194" s="57" t="str">
        <f>IF(OR(E194="V",G194="V"),"V",IF(AND(E194="None",G194="None"),"None",(IF(E194="None",0,E194)+IF(G194="None",0,G194)+IF(H194="Yes",CharacterSheet!$V$34,0))))</f>
        <v>None</v>
      </c>
      <c r="J194" s="57" t="s">
        <v>361</v>
      </c>
      <c r="K194" s="66">
        <f>IF(J194="no",0,IF(OR(F194="None",F194="Cheval",F194="Legend",F194="Mystery",F194="Prophecy",F194="TsukumoGami"),0,IF(F194="Varies","V",IF(AND(G194=0,CharacterSheet!$R$36="No"),0,IF(AND(G194=0,CharacterSheet!$R$36="Yes"),LOOKUP(D194,Reference!$N$2:$N$10,Reference!$O$2:$O$10),IF(G194&gt;0,LOOKUP(D194,Reference!$N$2:$N$10,Reference!$P$2:$P$10),"ERROR"))))))</f>
        <v>0</v>
      </c>
      <c r="L194" s="66" t="s">
        <v>361</v>
      </c>
      <c r="M194" s="66">
        <f>IF(E194="V","V",IF(J194="Yes",K194,0)+IF(L194="Yes",CharacterSheet!D187,0))</f>
        <v>0</v>
      </c>
      <c r="N194" s="66" t="s">
        <v>1799</v>
      </c>
      <c r="O194" s="66" t="s">
        <v>1799</v>
      </c>
      <c r="P194" s="66" t="s">
        <v>1068</v>
      </c>
      <c r="Q194" s="188">
        <v>22</v>
      </c>
    </row>
    <row r="195" spans="1:17" x14ac:dyDescent="0.25">
      <c r="A195" s="87" t="s">
        <v>1528</v>
      </c>
      <c r="B195" s="66" t="s">
        <v>703</v>
      </c>
      <c r="C195" s="39">
        <v>7</v>
      </c>
      <c r="D195" s="66" t="s">
        <v>21</v>
      </c>
      <c r="E195" s="66">
        <f>LOOKUP(D195,Reference!$B$33:$B$46,Reference!$C$33:$C$46)</f>
        <v>1</v>
      </c>
      <c r="F195" s="66" t="s">
        <v>52</v>
      </c>
      <c r="G195" s="66">
        <f>LOOKUP(F195,Reference!$D$32:$D$55,Reference!$E$32:$E$55)</f>
        <v>0</v>
      </c>
      <c r="H195" s="66" t="s">
        <v>361</v>
      </c>
      <c r="I195" s="57">
        <f>IF(OR(E195="V",G195="V"),"V",IF(AND(E195="None",G195="None"),"None",(IF(E195="None",0,E195)+IF(G195="None",0,G195)+IF(H195="Yes",CharacterSheet!$V$34,0))))</f>
        <v>1</v>
      </c>
      <c r="J195" s="57" t="s">
        <v>360</v>
      </c>
      <c r="K195" s="66">
        <f>IF(J195="no",0,IF(OR(F195="None",F195="Cheval",F195="Legend",F195="Mystery",F195="Prophecy",F195="TsukumoGami"),0,IF(F195="Varies","V",IF(AND(G195=0,CharacterSheet!$R$36="No"),0,IF(AND(G195=0,CharacterSheet!$R$36="Yes"),LOOKUP(D195,Reference!$N$2:$N$10,Reference!$O$2:$O$10),IF(G195&gt;0,LOOKUP(D195,Reference!$N$2:$N$10,Reference!$P$2:$P$10),"ERROR"))))))</f>
        <v>0</v>
      </c>
      <c r="L195" s="66" t="s">
        <v>361</v>
      </c>
      <c r="M195" s="66">
        <f>IF(E195="V","V",IF(J195="Yes",K195,0)+IF(L195="Yes",CharacterSheet!D174,0))</f>
        <v>0</v>
      </c>
      <c r="N195" s="66" t="s">
        <v>1739</v>
      </c>
      <c r="O195" s="66" t="s">
        <v>1705</v>
      </c>
      <c r="P195" s="66" t="s">
        <v>1507</v>
      </c>
      <c r="Q195" s="188">
        <v>42</v>
      </c>
    </row>
    <row r="196" spans="1:17" x14ac:dyDescent="0.25">
      <c r="A196" s="86" t="s">
        <v>1201</v>
      </c>
      <c r="B196" s="39" t="s">
        <v>115</v>
      </c>
      <c r="C196" s="39">
        <v>7</v>
      </c>
      <c r="D196" s="66" t="s">
        <v>14</v>
      </c>
      <c r="E196" s="66">
        <f>LOOKUP(D196,Reference!$B$33:$B$46,Reference!$C$33:$C$46)</f>
        <v>1</v>
      </c>
      <c r="F196" s="66" t="s">
        <v>47</v>
      </c>
      <c r="G196" s="66">
        <f>LOOKUP(F196,Reference!$D$32:$D$55,Reference!$E$32:$E$55)</f>
        <v>0</v>
      </c>
      <c r="H196" s="66" t="s">
        <v>361</v>
      </c>
      <c r="I196" s="57">
        <f>IF(OR(E196="V",G196="V"),"V",IF(AND(E196="None",G196="None"),"None",(IF(E196="None",0,E196)+IF(G196="None",0,G196)+IF(H196="Yes",CharacterSheet!$V$34,0))))</f>
        <v>1</v>
      </c>
      <c r="J196" s="57" t="s">
        <v>360</v>
      </c>
      <c r="K196" s="66">
        <f>IF(J196="no",0,IF(OR(F196="None",F196="Cheval",F196="Legend",F196="Mystery",F196="Prophecy",F196="TsukumoGami"),0,IF(F196="Varies","V",IF(AND(G196=0,CharacterSheet!$R$36="No"),0,IF(AND(G196=0,CharacterSheet!$R$36="Yes"),LOOKUP(D196,Reference!$N$2:$N$10,Reference!$O$2:$O$10),IF(G196&gt;0,LOOKUP(D196,Reference!$N$2:$N$10,Reference!$P$2:$P$10),"ERROR"))))))</f>
        <v>0</v>
      </c>
      <c r="L196" s="66" t="s">
        <v>361</v>
      </c>
      <c r="M196" s="66">
        <f>IF(E196="V","V",IF(J196="Yes",K196,0)+IF(L196="Yes",CharacterSheet!D284,0))</f>
        <v>0</v>
      </c>
      <c r="N196" s="66" t="s">
        <v>1627</v>
      </c>
      <c r="O196" s="66" t="s">
        <v>1554</v>
      </c>
      <c r="P196" s="66" t="s">
        <v>1067</v>
      </c>
      <c r="Q196" s="188">
        <v>81</v>
      </c>
    </row>
    <row r="197" spans="1:17" x14ac:dyDescent="0.25">
      <c r="A197" s="86" t="s">
        <v>1091</v>
      </c>
      <c r="B197" s="39" t="s">
        <v>367</v>
      </c>
      <c r="C197" s="39">
        <v>2</v>
      </c>
      <c r="D197" s="66" t="s">
        <v>20</v>
      </c>
      <c r="E197" s="66">
        <f>LOOKUP(D197,Reference!$B$33:$B$46,Reference!$C$33:$C$46)</f>
        <v>1</v>
      </c>
      <c r="F197" s="66" t="s">
        <v>38</v>
      </c>
      <c r="G197" s="66">
        <f>LOOKUP(F197,Reference!$D$32:$D$55,Reference!$E$32:$E$55)</f>
        <v>0</v>
      </c>
      <c r="H197" s="66" t="s">
        <v>361</v>
      </c>
      <c r="I197" s="57">
        <f>IF(OR(E197="V",G197="V"),"V",IF(AND(E197="None",G197="None"),"None",(IF(E197="None",0,E197)+IF(G197="None",0,G197)+IF(H197="Yes",CharacterSheet!$V$34,0))))</f>
        <v>1</v>
      </c>
      <c r="J197" s="57" t="s">
        <v>360</v>
      </c>
      <c r="K197" s="66">
        <f>IF(J197="no",0,IF(OR(F197="None",F197="Cheval",F197="Legend",F197="Mystery",F197="Prophecy",F197="TsukumoGami"),0,IF(F197="Varies","V",IF(AND(G197=0,CharacterSheet!$R$36="No"),0,IF(AND(G197=0,CharacterSheet!$R$36="Yes"),LOOKUP(D197,Reference!$N$2:$N$10,Reference!$O$2:$O$10),IF(G197&gt;0,LOOKUP(D197,Reference!$N$2:$N$10,Reference!$P$2:$P$10),"ERROR"))))))</f>
        <v>0</v>
      </c>
      <c r="L197" s="66" t="s">
        <v>361</v>
      </c>
      <c r="M197" s="66">
        <f>IF(E197="V","V",IF(J197="Yes",K197,0)+IF(L197="Yes",CharacterSheet!D105,0))</f>
        <v>0</v>
      </c>
      <c r="N197" s="66" t="s">
        <v>508</v>
      </c>
      <c r="O197" s="66" t="s">
        <v>1544</v>
      </c>
      <c r="P197" s="66" t="s">
        <v>141</v>
      </c>
      <c r="Q197" s="188">
        <v>140</v>
      </c>
    </row>
    <row r="198" spans="1:17" x14ac:dyDescent="0.25">
      <c r="A198" s="86" t="s">
        <v>1140</v>
      </c>
      <c r="B198" s="39" t="s">
        <v>185</v>
      </c>
      <c r="C198" s="39">
        <v>3</v>
      </c>
      <c r="D198" s="66" t="s">
        <v>20</v>
      </c>
      <c r="E198" s="66">
        <f>LOOKUP(D198,Reference!$B$33:$B$46,Reference!$C$33:$C$46)</f>
        <v>1</v>
      </c>
      <c r="F198" s="66" t="s">
        <v>56</v>
      </c>
      <c r="G198" s="66">
        <f>LOOKUP(F198,Reference!$D$32:$D$55,Reference!$E$32:$E$55)</f>
        <v>0</v>
      </c>
      <c r="H198" s="66" t="s">
        <v>361</v>
      </c>
      <c r="I198" s="57">
        <f>IF(OR(E198="V",G198="V"),"V",IF(AND(E198="None",G198="None"),"None",(IF(E198="None",0,E198)+IF(G198="None",0,G198)+IF(H198="Yes",CharacterSheet!$V$34,0))))</f>
        <v>1</v>
      </c>
      <c r="J198" s="57" t="s">
        <v>360</v>
      </c>
      <c r="K198" s="66">
        <f>IF(J198="no",0,IF(OR(F198="None",F198="Cheval",F198="Legend",F198="Mystery",F198="Prophecy",F198="TsukumoGami"),0,IF(F198="Varies","V",IF(AND(G198=0,CharacterSheet!$R$36="No"),0,IF(AND(G198=0,CharacterSheet!$R$36="Yes"),LOOKUP(D198,Reference!$N$2:$N$10,Reference!$O$2:$O$10),IF(G198&gt;0,LOOKUP(D198,Reference!$N$2:$N$10,Reference!$P$2:$P$10),"ERROR"))))))</f>
        <v>0</v>
      </c>
      <c r="L198" s="66" t="s">
        <v>361</v>
      </c>
      <c r="M198" s="66">
        <f>IF(E198="V","V",IF(J198="Yes",K198,0)+IF(L198="Yes",CharacterSheet!D177,0))</f>
        <v>0</v>
      </c>
      <c r="N198" s="66" t="s">
        <v>1625</v>
      </c>
      <c r="O198" s="66" t="s">
        <v>1569</v>
      </c>
      <c r="P198" s="66" t="s">
        <v>141</v>
      </c>
      <c r="Q198" s="188">
        <v>150</v>
      </c>
    </row>
    <row r="199" spans="1:17" x14ac:dyDescent="0.25">
      <c r="A199" s="86" t="s">
        <v>1415</v>
      </c>
      <c r="B199" s="39" t="s">
        <v>372</v>
      </c>
      <c r="C199" s="39">
        <v>9</v>
      </c>
      <c r="D199" s="66" t="s">
        <v>21</v>
      </c>
      <c r="E199" s="66">
        <f>LOOKUP(D199,Reference!$B$33:$B$46,Reference!$C$33:$C$46)</f>
        <v>1</v>
      </c>
      <c r="F199" s="66" t="s">
        <v>56</v>
      </c>
      <c r="G199" s="66">
        <f>LOOKUP(F199,Reference!$D$32:$D$55,Reference!$E$32:$E$55)</f>
        <v>0</v>
      </c>
      <c r="H199" s="66" t="s">
        <v>361</v>
      </c>
      <c r="I199" s="57">
        <f>IF(OR(E199="V",G199="V"),"V",IF(AND(E199="None",G199="None"),"None",(IF(E199="None",0,E199)+IF(G199="None",0,G199)+IF(H199="Yes",CharacterSheet!$V$34,0))))</f>
        <v>1</v>
      </c>
      <c r="J199" s="57" t="s">
        <v>360</v>
      </c>
      <c r="K199" s="66">
        <f>IF(J199="no",0,IF(OR(F199="None",F199="Cheval",F199="Legend",F199="Mystery",F199="Prophecy",F199="TsukumoGami"),0,IF(F199="Varies","V",IF(AND(G199=0,CharacterSheet!$R$36="No"),0,IF(AND(G199=0,CharacterSheet!$R$36="Yes"),LOOKUP(D199,Reference!$N$2:$N$10,Reference!$O$2:$O$10),IF(G199&gt;0,LOOKUP(D199,Reference!$N$2:$N$10,Reference!$P$2:$P$10),"ERROR"))))))</f>
        <v>0</v>
      </c>
      <c r="L199" s="66" t="s">
        <v>361</v>
      </c>
      <c r="M199" s="66">
        <f>IF(E199="V","V",IF(J199="Yes",K199,0)+IF(L199="Yes",CharacterSheet!D194,0))</f>
        <v>0</v>
      </c>
      <c r="N199" s="66" t="s">
        <v>1074</v>
      </c>
      <c r="O199" s="66" t="s">
        <v>1614</v>
      </c>
      <c r="P199" s="66" t="s">
        <v>1068</v>
      </c>
      <c r="Q199" s="188">
        <v>74</v>
      </c>
    </row>
    <row r="200" spans="1:17" x14ac:dyDescent="0.25">
      <c r="A200" s="87" t="s">
        <v>1510</v>
      </c>
      <c r="B200" s="66" t="s">
        <v>704</v>
      </c>
      <c r="C200" s="39">
        <v>3</v>
      </c>
      <c r="D200" s="66" t="s">
        <v>508</v>
      </c>
      <c r="E200" s="66" t="str">
        <f>LOOKUP(D200,Reference!$B$33:$B$46,Reference!$C$33:$C$46)</f>
        <v>None</v>
      </c>
      <c r="F200" s="66" t="s">
        <v>508</v>
      </c>
      <c r="G200" s="66" t="str">
        <f>LOOKUP(F200,Reference!$D$32:$D$55,Reference!$E$32:$E$55)</f>
        <v>None</v>
      </c>
      <c r="H200" s="66" t="s">
        <v>361</v>
      </c>
      <c r="I200" s="57" t="str">
        <f>IF(OR(E200="V",G200="V"),"V",IF(AND(E200="None",G200="None"),"None",(IF(E200="None",0,E200)+IF(G200="None",0,G200)+IF(H200="Yes",CharacterSheet!$V$34,0))))</f>
        <v>None</v>
      </c>
      <c r="J200" s="57" t="s">
        <v>361</v>
      </c>
      <c r="K200" s="66">
        <f>IF(J200="no",0,IF(OR(F200="None",F200="Cheval",F200="Legend",F200="Mystery",F200="Prophecy",F200="TsukumoGami"),0,IF(F200="Varies","V",IF(AND(G200=0,CharacterSheet!$R$36="No"),0,IF(AND(G200=0,CharacterSheet!$R$36="Yes"),LOOKUP(D200,Reference!$N$2:$N$10,Reference!$O$2:$O$10),IF(G200&gt;0,LOOKUP(D200,Reference!$N$2:$N$10,Reference!$P$2:$P$10),"ERROR"))))))</f>
        <v>0</v>
      </c>
      <c r="L200" s="66" t="s">
        <v>361</v>
      </c>
      <c r="M200" s="66">
        <f>IF(E200="V","V",IF(J200="Yes",K200,0)+IF(L200="Yes",CharacterSheet!D495,0))</f>
        <v>0</v>
      </c>
      <c r="N200" s="66" t="s">
        <v>1625</v>
      </c>
      <c r="O200" s="66" t="s">
        <v>508</v>
      </c>
      <c r="P200" s="66" t="s">
        <v>1507</v>
      </c>
      <c r="Q200" s="188">
        <v>36</v>
      </c>
    </row>
    <row r="201" spans="1:17" x14ac:dyDescent="0.25">
      <c r="A201" s="86" t="s">
        <v>1487</v>
      </c>
      <c r="B201" s="66" t="s">
        <v>192</v>
      </c>
      <c r="C201" s="39">
        <v>2</v>
      </c>
      <c r="D201" s="66" t="s">
        <v>508</v>
      </c>
      <c r="E201" s="66" t="str">
        <f>LOOKUP(D201,Reference!$B$33:$B$46,Reference!$C$33:$C$46)</f>
        <v>None</v>
      </c>
      <c r="F201" s="66" t="s">
        <v>508</v>
      </c>
      <c r="G201" s="66" t="str">
        <f>LOOKUP(F201,Reference!$D$32:$D$55,Reference!$E$32:$E$55)</f>
        <v>None</v>
      </c>
      <c r="H201" s="66" t="s">
        <v>361</v>
      </c>
      <c r="I201" s="57" t="str">
        <f>IF(OR(E201="V",G201="V"),"V",IF(AND(E201="None",G201="None"),"None",(IF(E201="None",0,E201)+IF(G201="None",0,G201)+IF(H201="Yes",CharacterSheet!$V$34,0))))</f>
        <v>None</v>
      </c>
      <c r="J201" s="57" t="s">
        <v>361</v>
      </c>
      <c r="K201" s="66">
        <f>IF(J201="no",0,IF(OR(F201="None",F201="Cheval",F201="Legend",F201="Mystery",F201="Prophecy",F201="TsukumoGami"),0,IF(F201="Varies","V",IF(AND(G201=0,CharacterSheet!$R$36="No"),0,IF(AND(G201=0,CharacterSheet!$R$36="Yes"),LOOKUP(D201,Reference!$N$2:$N$10,Reference!$O$2:$O$10),IF(G201&gt;0,LOOKUP(D201,Reference!$N$2:$N$10,Reference!$P$2:$P$10),"ERROR"))))))</f>
        <v>0</v>
      </c>
      <c r="L201" s="66" t="s">
        <v>361</v>
      </c>
      <c r="M201" s="66">
        <f>IF(E201="V","V",IF(J201="Yes",K201,0)+IF(L201="Yes",CharacterSheet!D462,0))</f>
        <v>0</v>
      </c>
      <c r="N201" s="66" t="s">
        <v>1691</v>
      </c>
      <c r="O201" s="66" t="s">
        <v>508</v>
      </c>
      <c r="P201" s="66" t="s">
        <v>1485</v>
      </c>
      <c r="Q201" s="188">
        <v>15</v>
      </c>
    </row>
    <row r="202" spans="1:17" x14ac:dyDescent="0.25">
      <c r="A202" s="86" t="s">
        <v>1298</v>
      </c>
      <c r="B202" s="39" t="s">
        <v>115</v>
      </c>
      <c r="C202" s="39">
        <v>8</v>
      </c>
      <c r="D202" s="66" t="s">
        <v>13</v>
      </c>
      <c r="E202" s="66">
        <f>LOOKUP(D202,Reference!$B$33:$B$46,Reference!$C$33:$C$46)</f>
        <v>1</v>
      </c>
      <c r="F202" s="66" t="s">
        <v>47</v>
      </c>
      <c r="G202" s="66">
        <f>LOOKUP(F202,Reference!$D$32:$D$55,Reference!$E$32:$E$55)</f>
        <v>0</v>
      </c>
      <c r="H202" s="66" t="s">
        <v>361</v>
      </c>
      <c r="I202" s="57">
        <f>IF(OR(E202="V",G202="V"),"V",IF(AND(E202="None",G202="None"),"None",(IF(E202="None",0,E202)+IF(G202="None",0,G202)+IF(H202="Yes",CharacterSheet!$V$34,0))))</f>
        <v>1</v>
      </c>
      <c r="J202" s="57" t="s">
        <v>360</v>
      </c>
      <c r="K202" s="66">
        <f>IF(J202="no",0,IF(OR(F202="None",F202="Cheval",F202="Legend",F202="Mystery",F202="Prophecy",F202="TsukumoGami"),0,IF(F202="Varies","V",IF(AND(G202=0,CharacterSheet!$R$36="No"),0,IF(AND(G202=0,CharacterSheet!$R$36="Yes"),LOOKUP(D202,Reference!$N$2:$N$10,Reference!$O$2:$O$10),IF(G202&gt;0,LOOKUP(D202,Reference!$N$2:$N$10,Reference!$P$2:$P$10),"ERROR"))))))</f>
        <v>0</v>
      </c>
      <c r="L202" s="66" t="s">
        <v>361</v>
      </c>
      <c r="M202" s="66">
        <f>IF(E202="V","V",IF(J202="Yes",K202,0)+IF(L202="Yes",CharacterSheet!D71,0))</f>
        <v>0</v>
      </c>
      <c r="N202" s="66" t="s">
        <v>1075</v>
      </c>
      <c r="O202" s="66" t="s">
        <v>1683</v>
      </c>
      <c r="P202" s="66" t="s">
        <v>5</v>
      </c>
      <c r="Q202" s="188">
        <v>92</v>
      </c>
    </row>
    <row r="203" spans="1:17" x14ac:dyDescent="0.25">
      <c r="A203" s="86" t="s">
        <v>1148</v>
      </c>
      <c r="B203" s="39" t="s">
        <v>163</v>
      </c>
      <c r="C203" s="39">
        <v>2</v>
      </c>
      <c r="D203" s="66" t="s">
        <v>508</v>
      </c>
      <c r="E203" s="66" t="str">
        <f>LOOKUP(D203,Reference!$B$33:$B$46,Reference!$C$33:$C$46)</f>
        <v>None</v>
      </c>
      <c r="F203" s="66" t="s">
        <v>508</v>
      </c>
      <c r="G203" s="66" t="str">
        <f>LOOKUP(F203,Reference!$D$32:$D$55,Reference!$E$32:$E$55)</f>
        <v>None</v>
      </c>
      <c r="H203" s="66" t="s">
        <v>361</v>
      </c>
      <c r="I203" s="57" t="str">
        <f>IF(OR(E203="V",G203="V"),"V",IF(AND(E203="None",G203="None"),"None",(IF(E203="None",0,E203)+IF(G203="None",0,G203)+IF(H203="Yes",CharacterSheet!$V$34,0))))</f>
        <v>None</v>
      </c>
      <c r="J203" s="57" t="s">
        <v>361</v>
      </c>
      <c r="K203" s="66">
        <f>IF(J203="no",0,IF(OR(F203="None",F203="Cheval",F203="Legend",F203="Mystery",F203="Prophecy",F203="TsukumoGami"),0,IF(F203="Varies","V",IF(AND(G203=0,CharacterSheet!$R$36="No"),0,IF(AND(G203=0,CharacterSheet!$R$36="Yes"),LOOKUP(D203,Reference!$N$2:$N$10,Reference!$O$2:$O$10),IF(G203&gt;0,LOOKUP(D203,Reference!$N$2:$N$10,Reference!$P$2:$P$10),"ERROR"))))))</f>
        <v>0</v>
      </c>
      <c r="L203" s="66" t="s">
        <v>361</v>
      </c>
      <c r="M203" s="66">
        <f>IF(E203="V","V",IF(J203="Yes",K203,0)+IF(L203="Yes",CharacterSheet!D193,0))</f>
        <v>0</v>
      </c>
      <c r="N203" s="66" t="s">
        <v>1563</v>
      </c>
      <c r="O203" s="66" t="s">
        <v>508</v>
      </c>
      <c r="P203" s="66" t="s">
        <v>141</v>
      </c>
      <c r="Q203" s="188">
        <v>153</v>
      </c>
    </row>
    <row r="204" spans="1:17" x14ac:dyDescent="0.25">
      <c r="A204" s="86" t="s">
        <v>1299</v>
      </c>
      <c r="B204" s="39" t="s">
        <v>115</v>
      </c>
      <c r="C204" s="39">
        <v>9</v>
      </c>
      <c r="D204" s="66" t="s">
        <v>20</v>
      </c>
      <c r="E204" s="66">
        <f>LOOKUP(D204,Reference!$B$33:$B$46,Reference!$C$33:$C$46)</f>
        <v>1</v>
      </c>
      <c r="F204" s="66" t="s">
        <v>47</v>
      </c>
      <c r="G204" s="66">
        <f>LOOKUP(F204,Reference!$D$32:$D$55,Reference!$E$32:$E$55)</f>
        <v>0</v>
      </c>
      <c r="H204" s="66" t="s">
        <v>361</v>
      </c>
      <c r="I204" s="57">
        <f>IF(OR(E204="V",G204="V"),"V",IF(AND(E204="None",G204="None"),"None",(IF(E204="None",0,E204)+IF(G204="None",0,G204)+IF(H204="Yes",CharacterSheet!$V$34,0))))</f>
        <v>1</v>
      </c>
      <c r="J204" s="57" t="s">
        <v>360</v>
      </c>
      <c r="K204" s="66">
        <f>IF(J204="no",0,IF(OR(F204="None",F204="Cheval",F204="Legend",F204="Mystery",F204="Prophecy",F204="TsukumoGami"),0,IF(F204="Varies","V",IF(AND(G204=0,CharacterSheet!$R$36="No"),0,IF(AND(G204=0,CharacterSheet!$R$36="Yes"),LOOKUP(D204,Reference!$N$2:$N$10,Reference!$O$2:$O$10),IF(G204&gt;0,LOOKUP(D204,Reference!$N$2:$N$10,Reference!$P$2:$P$10),"ERROR"))))))</f>
        <v>0</v>
      </c>
      <c r="L204" s="66" t="s">
        <v>361</v>
      </c>
      <c r="M204" s="66">
        <f>IF(E204="V","V",IF(J204="Yes",K204,0)+IF(L204="Yes",CharacterSheet!D370,0))</f>
        <v>0</v>
      </c>
      <c r="N204" s="66" t="s">
        <v>1660</v>
      </c>
      <c r="O204" s="66" t="s">
        <v>1608</v>
      </c>
      <c r="P204" s="66" t="s">
        <v>5</v>
      </c>
      <c r="Q204" s="188">
        <v>92</v>
      </c>
    </row>
    <row r="205" spans="1:17" x14ac:dyDescent="0.25">
      <c r="A205" s="86" t="s">
        <v>1486</v>
      </c>
      <c r="B205" s="66" t="s">
        <v>192</v>
      </c>
      <c r="C205" s="39">
        <v>1</v>
      </c>
      <c r="D205" s="66" t="s">
        <v>508</v>
      </c>
      <c r="E205" s="66" t="str">
        <f>LOOKUP(D205,Reference!$B$33:$B$46,Reference!$C$33:$C$46)</f>
        <v>None</v>
      </c>
      <c r="F205" s="66" t="s">
        <v>508</v>
      </c>
      <c r="G205" s="66" t="str">
        <f>LOOKUP(F205,Reference!$D$32:$D$55,Reference!$E$32:$E$55)</f>
        <v>None</v>
      </c>
      <c r="H205" s="66" t="s">
        <v>361</v>
      </c>
      <c r="I205" s="57" t="str">
        <f>IF(OR(E205="V",G205="V"),"V",IF(AND(E205="None",G205="None"),"None",(IF(E205="None",0,E205)+IF(G205="None",0,G205)+IF(H205="Yes",CharacterSheet!$V$34,0))))</f>
        <v>None</v>
      </c>
      <c r="J205" s="57" t="s">
        <v>361</v>
      </c>
      <c r="K205" s="66">
        <f>IF(J205="no",0,IF(OR(F205="None",F205="Cheval",F205="Legend",F205="Mystery",F205="Prophecy",F205="TsukumoGami"),0,IF(F205="Varies","V",IF(AND(G205=0,CharacterSheet!$R$36="No"),0,IF(AND(G205=0,CharacterSheet!$R$36="Yes"),LOOKUP(D205,Reference!$N$2:$N$10,Reference!$O$2:$O$10),IF(G205&gt;0,LOOKUP(D205,Reference!$N$2:$N$10,Reference!$P$2:$P$10),"ERROR"))))))</f>
        <v>0</v>
      </c>
      <c r="L205" s="66" t="s">
        <v>361</v>
      </c>
      <c r="M205" s="66">
        <f>IF(E205="V","V",IF(J205="Yes",K205,0)+IF(L205="Yes",CharacterSheet!D460,0))</f>
        <v>0</v>
      </c>
      <c r="N205" s="66" t="s">
        <v>1689</v>
      </c>
      <c r="O205" s="66" t="s">
        <v>508</v>
      </c>
      <c r="P205" s="66" t="s">
        <v>1485</v>
      </c>
      <c r="Q205" s="188">
        <v>14</v>
      </c>
    </row>
    <row r="206" spans="1:17" x14ac:dyDescent="0.25">
      <c r="A206" s="86" t="s">
        <v>1267</v>
      </c>
      <c r="B206" s="39" t="s">
        <v>366</v>
      </c>
      <c r="C206" s="39">
        <v>9</v>
      </c>
      <c r="D206" s="66" t="s">
        <v>20</v>
      </c>
      <c r="E206" s="66">
        <f>LOOKUP(D206,Reference!$B$33:$B$46,Reference!$C$33:$C$46)</f>
        <v>1</v>
      </c>
      <c r="F206" s="66" t="s">
        <v>36</v>
      </c>
      <c r="G206" s="66">
        <f>LOOKUP(F206,Reference!$D$32:$D$55,Reference!$E$32:$E$55)</f>
        <v>0</v>
      </c>
      <c r="H206" s="66" t="s">
        <v>361</v>
      </c>
      <c r="I206" s="57">
        <f>IF(OR(E206="V",G206="V"),"V",IF(AND(E206="None",G206="None"),"None",(IF(E206="None",0,E206)+IF(G206="None",0,G206)+IF(H206="Yes",CharacterSheet!$V$34,0))))</f>
        <v>1</v>
      </c>
      <c r="J206" s="57" t="s">
        <v>360</v>
      </c>
      <c r="K206" s="66">
        <f>IF(J206="no",0,IF(OR(F206="None",F206="Cheval",F206="Legend",F206="Mystery",F206="Prophecy",F206="TsukumoGami"),0,IF(F206="Varies","V",IF(AND(G206=0,CharacterSheet!$R$36="No"),0,IF(AND(G206=0,CharacterSheet!$R$36="Yes"),LOOKUP(D206,Reference!$N$2:$N$10,Reference!$O$2:$O$10),IF(G206&gt;0,LOOKUP(D206,Reference!$N$2:$N$10,Reference!$P$2:$P$10),"ERROR"))))))</f>
        <v>0</v>
      </c>
      <c r="L206" s="66" t="s">
        <v>361</v>
      </c>
      <c r="M206" s="66">
        <f>IF(E206="V","V",IF(J206="Yes",K206,0)+IF(L206="Yes",CharacterSheet!D383,0))</f>
        <v>0</v>
      </c>
      <c r="N206" s="66" t="s">
        <v>1647</v>
      </c>
      <c r="O206" s="66" t="s">
        <v>1539</v>
      </c>
      <c r="P206" s="66" t="s">
        <v>5</v>
      </c>
      <c r="Q206" s="188">
        <v>81</v>
      </c>
    </row>
    <row r="207" spans="1:17" x14ac:dyDescent="0.25">
      <c r="A207" s="87" t="s">
        <v>1521</v>
      </c>
      <c r="B207" s="66" t="s">
        <v>373</v>
      </c>
      <c r="C207" s="66">
        <v>5</v>
      </c>
      <c r="D207" s="66" t="s">
        <v>14</v>
      </c>
      <c r="E207" s="66">
        <f>LOOKUP(D207,Reference!$B$33:$B$46,Reference!$C$33:$C$46)</f>
        <v>1</v>
      </c>
      <c r="F207" s="66" t="s">
        <v>43</v>
      </c>
      <c r="G207" s="66">
        <f>LOOKUP(F207,Reference!$D$32:$D$55,Reference!$E$32:$E$55)</f>
        <v>0</v>
      </c>
      <c r="H207" s="66" t="s">
        <v>361</v>
      </c>
      <c r="I207" s="57">
        <f>IF(OR(E207="V",G207="V"),"V",IF(AND(E207="None",G207="None"),"None",(IF(E207="None",0,E207)+IF(G207="None",0,G207)+IF(H207="Yes",CharacterSheet!$V$34,0))))</f>
        <v>1</v>
      </c>
      <c r="J207" s="57" t="s">
        <v>360</v>
      </c>
      <c r="K207" s="66">
        <f>IF(J207="no",0,IF(OR(F207="None",F207="Cheval",F207="Legend",F207="Mystery",F207="Prophecy",F207="TsukumoGami"),0,IF(F207="Varies","V",IF(AND(G207=0,CharacterSheet!$R$36="No"),0,IF(AND(G207=0,CharacterSheet!$R$36="Yes"),LOOKUP(D207,Reference!$N$2:$N$10,Reference!$O$2:$O$10),IF(G207&gt;0,LOOKUP(D207,Reference!$N$2:$N$10,Reference!$P$2:$P$10),"ERROR"))))))</f>
        <v>0</v>
      </c>
      <c r="L207" s="66" t="s">
        <v>361</v>
      </c>
      <c r="M207" s="66">
        <f>IF(E207="V","V",IF(J207="Yes",K207,0)+IF(L207="Yes",CharacterSheet!D284,0))</f>
        <v>0</v>
      </c>
      <c r="N207" s="66" t="s">
        <v>1630</v>
      </c>
      <c r="O207" s="66" t="s">
        <v>1734</v>
      </c>
      <c r="P207" s="66" t="s">
        <v>1507</v>
      </c>
      <c r="Q207" s="188">
        <v>34</v>
      </c>
    </row>
    <row r="208" spans="1:17" x14ac:dyDescent="0.25">
      <c r="A208" s="86" t="s">
        <v>1291</v>
      </c>
      <c r="B208" s="39" t="s">
        <v>372</v>
      </c>
      <c r="C208" s="39">
        <v>9</v>
      </c>
      <c r="D208" s="66" t="s">
        <v>16</v>
      </c>
      <c r="E208" s="66">
        <f>LOOKUP(D208,Reference!$B$33:$B$46,Reference!$C$33:$C$46)</f>
        <v>1</v>
      </c>
      <c r="F208" s="66" t="s">
        <v>40</v>
      </c>
      <c r="G208" s="66">
        <f>LOOKUP(F208,Reference!$D$32:$D$55,Reference!$E$32:$E$55)</f>
        <v>0</v>
      </c>
      <c r="H208" s="66" t="s">
        <v>361</v>
      </c>
      <c r="I208" s="57">
        <f>IF(OR(E208="V",G208="V"),"V",IF(AND(E208="None",G208="None"),"None",(IF(E208="None",0,E208)+IF(G208="None",0,G208)+IF(H208="Yes",CharacterSheet!$V$34,0))))</f>
        <v>1</v>
      </c>
      <c r="J208" s="57" t="s">
        <v>360</v>
      </c>
      <c r="K208" s="66">
        <f>IF(J208="no",0,IF(OR(F208="None",F208="Cheval",F208="Legend",F208="Mystery",F208="Prophecy",F208="TsukumoGami"),0,IF(F208="Varies","V",IF(AND(G208=0,CharacterSheet!$R$36="No"),0,IF(AND(G208=0,CharacterSheet!$R$36="Yes"),LOOKUP(D208,Reference!$N$2:$N$10,Reference!$O$2:$O$10),IF(G208&gt;0,LOOKUP(D208,Reference!$N$2:$N$10,Reference!$P$2:$P$10),"ERROR"))))))</f>
        <v>0</v>
      </c>
      <c r="L208" s="66" t="s">
        <v>361</v>
      </c>
      <c r="M208" s="66">
        <f>IF(E208="V","V",IF(J208="Yes",K208,0)+IF(L208="Yes",CharacterSheet!D162,0))</f>
        <v>0</v>
      </c>
      <c r="N208" s="66" t="s">
        <v>1648</v>
      </c>
      <c r="O208" s="66" t="s">
        <v>1549</v>
      </c>
      <c r="P208" s="66" t="s">
        <v>5</v>
      </c>
      <c r="Q208" s="188">
        <v>89</v>
      </c>
    </row>
    <row r="209" spans="1:17" x14ac:dyDescent="0.25">
      <c r="A209" s="87" t="s">
        <v>1535</v>
      </c>
      <c r="B209" s="66" t="s">
        <v>385</v>
      </c>
      <c r="C209" s="66">
        <v>2</v>
      </c>
      <c r="D209" s="66" t="s">
        <v>17</v>
      </c>
      <c r="E209" s="66">
        <f>LOOKUP(D209,Reference!$B$33:$B$46,Reference!$C$33:$C$46)</f>
        <v>1</v>
      </c>
      <c r="F209" s="66" t="s">
        <v>47</v>
      </c>
      <c r="G209" s="66">
        <f>LOOKUP(F209,Reference!$D$32:$D$55,Reference!$E$32:$E$55)</f>
        <v>0</v>
      </c>
      <c r="H209" s="66" t="s">
        <v>361</v>
      </c>
      <c r="I209" s="57">
        <f>IF(OR(E209="V",G209="V"),"V",IF(AND(E209="None",G209="None"),"None",(IF(E209="None",0,E209)+IF(G209="None",0,G209)+IF(H209="Yes",CharacterSheet!$V$34,0))))</f>
        <v>1</v>
      </c>
      <c r="J209" s="57" t="s">
        <v>360</v>
      </c>
      <c r="K209" s="66">
        <f>IF(J209="no",0,IF(OR(F209="None",F209="Cheval",F209="Legend",F209="Mystery",F209="Prophecy",F209="TsukumoGami"),0,IF(F209="Varies","V",IF(AND(G209=0,CharacterSheet!$R$36="No"),0,IF(AND(G209=0,CharacterSheet!$R$36="Yes"),LOOKUP(D209,Reference!$N$2:$N$10,Reference!$O$2:$O$10),IF(G209&gt;0,LOOKUP(D209,Reference!$N$2:$N$10,Reference!$P$2:$P$10),"ERROR"))))))</f>
        <v>0</v>
      </c>
      <c r="L209" s="66" t="s">
        <v>361</v>
      </c>
      <c r="M209" s="66">
        <f>IF(E209="V","V",IF(J209="Yes",K209,0)+IF(L209="Yes",CharacterSheet!D289,0))</f>
        <v>0</v>
      </c>
      <c r="N209" s="66" t="s">
        <v>1072</v>
      </c>
      <c r="O209" s="66" t="s">
        <v>1607</v>
      </c>
      <c r="P209" s="66" t="s">
        <v>1507</v>
      </c>
      <c r="Q209" s="188">
        <v>44</v>
      </c>
    </row>
    <row r="210" spans="1:17" x14ac:dyDescent="0.25">
      <c r="A210" s="86" t="s">
        <v>1287</v>
      </c>
      <c r="B210" s="39" t="s">
        <v>371</v>
      </c>
      <c r="C210" s="39">
        <v>9</v>
      </c>
      <c r="D210" s="66" t="s">
        <v>20</v>
      </c>
      <c r="E210" s="66">
        <f>LOOKUP(D210,Reference!$B$33:$B$46,Reference!$C$33:$C$46)</f>
        <v>1</v>
      </c>
      <c r="F210" s="66" t="s">
        <v>53</v>
      </c>
      <c r="G210" s="66">
        <f>LOOKUP(F210,Reference!$D$32:$D$55,Reference!$E$32:$E$55)</f>
        <v>0</v>
      </c>
      <c r="H210" s="66" t="s">
        <v>361</v>
      </c>
      <c r="I210" s="57">
        <f>IF(OR(E210="V",G210="V"),"V",IF(AND(E210="None",G210="None"),"None",(IF(E210="None",0,E210)+IF(G210="None",0,G210)+IF(H210="Yes",CharacterSheet!$V$34,0))))</f>
        <v>1</v>
      </c>
      <c r="J210" s="57" t="s">
        <v>360</v>
      </c>
      <c r="K210" s="66">
        <f>IF(J210="no",0,IF(OR(F210="None",F210="Cheval",F210="Legend",F210="Mystery",F210="Prophecy",F210="TsukumoGami"),0,IF(F210="Varies","V",IF(AND(G210=0,CharacterSheet!$R$36="No"),0,IF(AND(G210=0,CharacterSheet!$R$36="Yes"),LOOKUP(D210,Reference!$N$2:$N$10,Reference!$O$2:$O$10),IF(G210&gt;0,LOOKUP(D210,Reference!$N$2:$N$10,Reference!$P$2:$P$10),"ERROR"))))))</f>
        <v>0</v>
      </c>
      <c r="L210" s="66" t="s">
        <v>361</v>
      </c>
      <c r="M210" s="66">
        <f>IF(E210="V","V",IF(J210="Yes",K210,0)+IF(L210="Yes",CharacterSheet!D226,0))</f>
        <v>0</v>
      </c>
      <c r="N210" s="66" t="s">
        <v>1075</v>
      </c>
      <c r="O210" s="66" t="s">
        <v>1605</v>
      </c>
      <c r="P210" s="66" t="s">
        <v>5</v>
      </c>
      <c r="Q210" s="188">
        <v>88</v>
      </c>
    </row>
    <row r="211" spans="1:17" x14ac:dyDescent="0.25">
      <c r="A211" s="86" t="s">
        <v>1411</v>
      </c>
      <c r="B211" s="39" t="s">
        <v>370</v>
      </c>
      <c r="C211" s="39">
        <v>7</v>
      </c>
      <c r="D211" s="66" t="s">
        <v>30</v>
      </c>
      <c r="E211" s="66">
        <f>LOOKUP(D211,Reference!$B$33:$B$46,Reference!$C$33:$C$46)</f>
        <v>1</v>
      </c>
      <c r="F211" s="66" t="s">
        <v>57</v>
      </c>
      <c r="G211" s="66">
        <f>LOOKUP(F211,Reference!$D$32:$D$55,Reference!$E$32:$E$55)</f>
        <v>0</v>
      </c>
      <c r="H211" s="66" t="s">
        <v>361</v>
      </c>
      <c r="I211" s="57">
        <f>IF(OR(E211="V",G211="V"),"V",IF(AND(E211="None",G211="None"),"None",(IF(E211="None",0,E211)+IF(G211="None",0,G211)+IF(H211="Yes",CharacterSheet!$V$34,0))))</f>
        <v>1</v>
      </c>
      <c r="J211" s="57" t="s">
        <v>360</v>
      </c>
      <c r="K211" s="66">
        <f>IF(J211="no",0,IF(OR(F211="None",F211="Cheval",F211="Legend",F211="Mystery",F211="Prophecy",F211="TsukumoGami"),0,IF(F211="Varies","V",IF(AND(G211=0,CharacterSheet!$R$36="No"),0,IF(AND(G211=0,CharacterSheet!$R$36="Yes"),LOOKUP(D211,Reference!$N$2:$N$10,Reference!$O$2:$O$10),IF(G211&gt;0,LOOKUP(D211,Reference!$N$2:$N$10,Reference!$P$2:$P$10),"ERROR"))))))</f>
        <v>0</v>
      </c>
      <c r="L211" s="66" t="s">
        <v>361</v>
      </c>
      <c r="M211" s="66">
        <f>IF(E211="V","V",IF(J211="Yes",K211,0)+IF(L211="Yes",CharacterSheet!D412,0))</f>
        <v>0</v>
      </c>
      <c r="N211" s="66" t="s">
        <v>1648</v>
      </c>
      <c r="O211" s="66" t="s">
        <v>1604</v>
      </c>
      <c r="P211" s="66" t="s">
        <v>1068</v>
      </c>
      <c r="Q211" s="188">
        <v>73</v>
      </c>
    </row>
    <row r="212" spans="1:17" x14ac:dyDescent="0.25">
      <c r="A212" s="86" t="s">
        <v>1317</v>
      </c>
      <c r="B212" s="39" t="s">
        <v>379</v>
      </c>
      <c r="C212" s="39">
        <v>8</v>
      </c>
      <c r="D212" s="66" t="s">
        <v>30</v>
      </c>
      <c r="E212" s="66">
        <f>LOOKUP(D212,Reference!$B$33:$B$46,Reference!$C$33:$C$46)</f>
        <v>1</v>
      </c>
      <c r="F212" s="66" t="s">
        <v>51</v>
      </c>
      <c r="G212" s="66">
        <f>LOOKUP(F212,Reference!$D$32:$D$55,Reference!$E$32:$E$55)</f>
        <v>0</v>
      </c>
      <c r="H212" s="66" t="s">
        <v>361</v>
      </c>
      <c r="I212" s="57">
        <f>IF(OR(E212="V",G212="V"),"V",IF(AND(E212="None",G212="None"),"None",(IF(E212="None",0,E212)+IF(G212="None",0,G212)+IF(H212="Yes",CharacterSheet!$V$34,0))))</f>
        <v>1</v>
      </c>
      <c r="J212" s="57" t="s">
        <v>360</v>
      </c>
      <c r="K212" s="66">
        <f>IF(J212="no",0,IF(OR(F212="None",F212="Cheval",F212="Legend",F212="Mystery",F212="Prophecy",F212="TsukumoGami"),0,IF(F212="Varies","V",IF(AND(G212=0,CharacterSheet!$R$36="No"),0,IF(AND(G212=0,CharacterSheet!$R$36="Yes"),LOOKUP(D212,Reference!$N$2:$N$10,Reference!$O$2:$O$10),IF(G212&gt;0,LOOKUP(D212,Reference!$N$2:$N$10,Reference!$P$2:$P$10),"ERROR"))))))</f>
        <v>0</v>
      </c>
      <c r="L212" s="66" t="s">
        <v>361</v>
      </c>
      <c r="M212" s="66">
        <f>IF(E212="V","V",IF(J212="Yes",K212,0)+IF(L212="Yes",CharacterSheet!D76,0))</f>
        <v>0</v>
      </c>
      <c r="N212" s="66" t="s">
        <v>1656</v>
      </c>
      <c r="O212" s="66" t="s">
        <v>1556</v>
      </c>
      <c r="P212" s="66" t="s">
        <v>5</v>
      </c>
      <c r="Q212" s="188">
        <v>100</v>
      </c>
    </row>
    <row r="213" spans="1:17" x14ac:dyDescent="0.25">
      <c r="A213" s="86" t="s">
        <v>1192</v>
      </c>
      <c r="B213" s="39" t="s">
        <v>372</v>
      </c>
      <c r="C213" s="39">
        <v>6</v>
      </c>
      <c r="D213" s="66" t="s">
        <v>16</v>
      </c>
      <c r="E213" s="66">
        <f>LOOKUP(D213,Reference!$B$33:$B$46,Reference!$C$33:$C$46)</f>
        <v>1</v>
      </c>
      <c r="F213" s="66" t="s">
        <v>57</v>
      </c>
      <c r="G213" s="66">
        <f>LOOKUP(F213,Reference!$D$32:$D$55,Reference!$E$32:$E$55)</f>
        <v>0</v>
      </c>
      <c r="H213" s="66" t="s">
        <v>361</v>
      </c>
      <c r="I213" s="57">
        <f>IF(OR(E213="V",G213="V"),"V",IF(AND(E213="None",G213="None"),"None",(IF(E213="None",0,E213)+IF(G213="None",0,G213)+IF(H213="Yes",CharacterSheet!$V$34,0))))</f>
        <v>1</v>
      </c>
      <c r="J213" s="57" t="s">
        <v>360</v>
      </c>
      <c r="K213" s="66">
        <f>IF(J213="no",0,IF(OR(F213="None",F213="Cheval",F213="Legend",F213="Mystery",F213="Prophecy",F213="TsukumoGami"),0,IF(F213="Varies","V",IF(AND(G213=0,CharacterSheet!$R$36="No"),0,IF(AND(G213=0,CharacterSheet!$R$36="Yes"),LOOKUP(D213,Reference!$N$2:$N$10,Reference!$O$2:$O$10),IF(G213&gt;0,LOOKUP(D213,Reference!$N$2:$N$10,Reference!$P$2:$P$10),"ERROR"))))))</f>
        <v>0</v>
      </c>
      <c r="L213" s="66" t="s">
        <v>361</v>
      </c>
      <c r="M213" s="66">
        <f>IF(E213="V","V",IF(J213="Yes",K213,0)+IF(L213="Yes",CharacterSheet!D348,0))</f>
        <v>0</v>
      </c>
      <c r="N213" s="66" t="s">
        <v>1077</v>
      </c>
      <c r="O213" s="66" t="s">
        <v>1606</v>
      </c>
      <c r="P213" s="66" t="s">
        <v>1067</v>
      </c>
      <c r="Q213" s="188">
        <v>78</v>
      </c>
    </row>
    <row r="214" spans="1:17" x14ac:dyDescent="0.25">
      <c r="A214" s="86" t="s">
        <v>1238</v>
      </c>
      <c r="B214" s="39" t="s">
        <v>188</v>
      </c>
      <c r="C214" s="39">
        <v>4</v>
      </c>
      <c r="D214" s="66" t="s">
        <v>17</v>
      </c>
      <c r="E214" s="66">
        <f>LOOKUP(D214,Reference!$B$33:$B$46,Reference!$C$33:$C$46)</f>
        <v>1</v>
      </c>
      <c r="F214" s="66" t="s">
        <v>51</v>
      </c>
      <c r="G214" s="66">
        <f>LOOKUP(F214,Reference!$D$32:$D$55,Reference!$E$32:$E$55)</f>
        <v>0</v>
      </c>
      <c r="H214" s="66" t="s">
        <v>361</v>
      </c>
      <c r="I214" s="57">
        <f>IF(OR(E214="V",G214="V"),"V",IF(AND(E214="None",G214="None"),"None",(IF(E214="None",0,E214)+IF(G214="None",0,G214)+IF(H214="Yes",CharacterSheet!$V$34,0))))</f>
        <v>1</v>
      </c>
      <c r="J214" s="57" t="s">
        <v>360</v>
      </c>
      <c r="K214" s="66">
        <f>IF(J214="no",0,IF(OR(F214="None",F214="Cheval",F214="Legend",F214="Mystery",F214="Prophecy",F214="TsukumoGami"),0,IF(F214="Varies","V",IF(AND(G214=0,CharacterSheet!$R$36="No"),0,IF(AND(G214=0,CharacterSheet!$R$36="Yes"),LOOKUP(D214,Reference!$N$2:$N$10,Reference!$O$2:$O$10),IF(G214&gt;0,LOOKUP(D214,Reference!$N$2:$N$10,Reference!$P$2:$P$10),"ERROR"))))))</f>
        <v>0</v>
      </c>
      <c r="L214" s="66" t="s">
        <v>361</v>
      </c>
      <c r="M214" s="66">
        <f>IF(E214="V","V",IF(J214="Yes",K214,0)+IF(L214="Yes",CharacterSheet!D271,0))</f>
        <v>0</v>
      </c>
      <c r="N214" s="66" t="s">
        <v>1624</v>
      </c>
      <c r="O214" s="66" t="s">
        <v>1576</v>
      </c>
      <c r="P214" s="66" t="s">
        <v>1067</v>
      </c>
      <c r="Q214" s="188">
        <v>92</v>
      </c>
    </row>
    <row r="215" spans="1:17" x14ac:dyDescent="0.25">
      <c r="A215" s="86" t="s">
        <v>1473</v>
      </c>
      <c r="B215" s="39" t="s">
        <v>194</v>
      </c>
      <c r="C215" s="39">
        <v>9</v>
      </c>
      <c r="D215" s="66" t="s">
        <v>20</v>
      </c>
      <c r="E215" s="66">
        <f>LOOKUP(D215,Reference!$B$33:$B$46,Reference!$C$33:$C$46)</f>
        <v>1</v>
      </c>
      <c r="F215" s="66" t="s">
        <v>57</v>
      </c>
      <c r="G215" s="66">
        <f>LOOKUP(F215,Reference!$D$32:$D$55,Reference!$E$32:$E$55)</f>
        <v>0</v>
      </c>
      <c r="H215" s="66" t="s">
        <v>361</v>
      </c>
      <c r="I215" s="57">
        <f>IF(OR(E215="V",G215="V"),"V",IF(AND(E215="None",G215="None"),"None",(IF(E215="None",0,E215)+IF(G215="None",0,G215)+IF(H215="Yes",CharacterSheet!$V$34,0))))</f>
        <v>1</v>
      </c>
      <c r="J215" s="57" t="s">
        <v>360</v>
      </c>
      <c r="K215" s="66">
        <f>IF(J215="no",0,IF(OR(F215="None",F215="Cheval",F215="Legend",F215="Mystery",F215="Prophecy",F215="TsukumoGami"),0,IF(F215="Varies","V",IF(AND(G215=0,CharacterSheet!$R$36="No"),0,IF(AND(G215=0,CharacterSheet!$R$36="Yes"),LOOKUP(D215,Reference!$N$2:$N$10,Reference!$O$2:$O$10),IF(G215&gt;0,LOOKUP(D215,Reference!$N$2:$N$10,Reference!$P$2:$P$10),"ERROR"))))))</f>
        <v>0</v>
      </c>
      <c r="L215" s="66" t="s">
        <v>361</v>
      </c>
      <c r="M215" s="66">
        <f>IF(E215="V","V",IF(J215="Yes",K215,0)+IF(L215="Yes",CharacterSheet!D317,0))</f>
        <v>0</v>
      </c>
      <c r="N215" s="66" t="s">
        <v>1712</v>
      </c>
      <c r="O215" s="66" t="s">
        <v>1602</v>
      </c>
      <c r="P215" s="66" t="s">
        <v>1068</v>
      </c>
      <c r="Q215" s="188">
        <v>230</v>
      </c>
    </row>
    <row r="216" spans="1:17" x14ac:dyDescent="0.25">
      <c r="A216" s="86" t="s">
        <v>1270</v>
      </c>
      <c r="B216" s="39" t="s">
        <v>367</v>
      </c>
      <c r="C216" s="39">
        <v>8</v>
      </c>
      <c r="D216" s="66" t="s">
        <v>17</v>
      </c>
      <c r="E216" s="66">
        <f>LOOKUP(D216,Reference!$B$33:$B$46,Reference!$C$33:$C$46)</f>
        <v>1</v>
      </c>
      <c r="F216" s="66" t="s">
        <v>41</v>
      </c>
      <c r="G216" s="66">
        <f>LOOKUP(F216,Reference!$D$32:$D$55,Reference!$E$32:$E$55)</f>
        <v>0</v>
      </c>
      <c r="H216" s="66" t="s">
        <v>361</v>
      </c>
      <c r="I216" s="57">
        <f>IF(OR(E216="V",G216="V"),"V",IF(AND(E216="None",G216="None"),"None",(IF(E216="None",0,E216)+IF(G216="None",0,G216)+IF(H216="Yes",CharacterSheet!$V$34,0))))</f>
        <v>1</v>
      </c>
      <c r="J216" s="57" t="s">
        <v>360</v>
      </c>
      <c r="K216" s="66">
        <f>IF(J216="no",0,IF(OR(F216="None",F216="Cheval",F216="Legend",F216="Mystery",F216="Prophecy",F216="TsukumoGami"),0,IF(F216="Varies","V",IF(AND(G216=0,CharacterSheet!$R$36="No"),0,IF(AND(G216=0,CharacterSheet!$R$36="Yes"),LOOKUP(D216,Reference!$N$2:$N$10,Reference!$O$2:$O$10),IF(G216&gt;0,LOOKUP(D216,Reference!$N$2:$N$10,Reference!$P$2:$P$10),"ERROR"))))))</f>
        <v>0</v>
      </c>
      <c r="L216" s="66" t="s">
        <v>361</v>
      </c>
      <c r="M216" s="66">
        <f>IF(E216="V","V",IF(J216="Yes",K216,0)+IF(L216="Yes",CharacterSheet!D382,0))</f>
        <v>0</v>
      </c>
      <c r="N216" s="66" t="s">
        <v>1648</v>
      </c>
      <c r="O216" s="66" t="s">
        <v>1622</v>
      </c>
      <c r="P216" s="66" t="s">
        <v>5</v>
      </c>
      <c r="Q216" s="188">
        <v>83</v>
      </c>
    </row>
    <row r="217" spans="1:17" x14ac:dyDescent="0.25">
      <c r="A217" s="86" t="s">
        <v>1173</v>
      </c>
      <c r="B217" s="39" t="s">
        <v>367</v>
      </c>
      <c r="C217" s="39">
        <v>7</v>
      </c>
      <c r="D217" s="66" t="s">
        <v>16</v>
      </c>
      <c r="E217" s="66">
        <f>LOOKUP(D217,Reference!$B$33:$B$46,Reference!$C$33:$C$46)</f>
        <v>1</v>
      </c>
      <c r="F217" s="66" t="s">
        <v>51</v>
      </c>
      <c r="G217" s="66">
        <f>LOOKUP(F217,Reference!$D$32:$D$55,Reference!$E$32:$E$55)</f>
        <v>0</v>
      </c>
      <c r="H217" s="66" t="s">
        <v>361</v>
      </c>
      <c r="I217" s="57">
        <f>IF(OR(E217="V",G217="V"),"V",IF(AND(E217="None",G217="None"),"None",(IF(E217="None",0,E217)+IF(G217="None",0,G217)+IF(H217="Yes",CharacterSheet!$V$34,0))))</f>
        <v>1</v>
      </c>
      <c r="J217" s="57" t="s">
        <v>360</v>
      </c>
      <c r="K217" s="66">
        <f>IF(J217="no",0,IF(OR(F217="None",F217="Cheval",F217="Legend",F217="Mystery",F217="Prophecy",F217="TsukumoGami"),0,IF(F217="Varies","V",IF(AND(G217=0,CharacterSheet!$R$36="No"),0,IF(AND(G217=0,CharacterSheet!$R$36="Yes"),LOOKUP(D217,Reference!$N$2:$N$10,Reference!$O$2:$O$10),IF(G217&gt;0,LOOKUP(D217,Reference!$N$2:$N$10,Reference!$P$2:$P$10),"ERROR"))))))</f>
        <v>0</v>
      </c>
      <c r="L217" s="66" t="s">
        <v>361</v>
      </c>
      <c r="M217" s="66">
        <f>IF(E217="V","V",IF(J217="Yes",K217,0)+IF(L217="Yes",CharacterSheet!D192,0))</f>
        <v>0</v>
      </c>
      <c r="N217" s="66" t="s">
        <v>1631</v>
      </c>
      <c r="O217" s="66" t="s">
        <v>1559</v>
      </c>
      <c r="P217" s="66" t="s">
        <v>1067</v>
      </c>
      <c r="Q217" s="188">
        <v>72</v>
      </c>
    </row>
    <row r="218" spans="1:17" x14ac:dyDescent="0.25">
      <c r="A218" s="86" t="s">
        <v>1394</v>
      </c>
      <c r="B218" s="39" t="s">
        <v>1366</v>
      </c>
      <c r="C218" s="39">
        <v>3</v>
      </c>
      <c r="D218" s="66" t="s">
        <v>508</v>
      </c>
      <c r="E218" s="66" t="str">
        <f>LOOKUP(D218,Reference!$B$33:$B$46,Reference!$C$33:$C$46)</f>
        <v>None</v>
      </c>
      <c r="F218" s="66" t="s">
        <v>508</v>
      </c>
      <c r="G218" s="66" t="str">
        <f>LOOKUP(F218,Reference!$D$32:$D$55,Reference!$E$32:$E$55)</f>
        <v>None</v>
      </c>
      <c r="H218" s="66" t="s">
        <v>361</v>
      </c>
      <c r="I218" s="57" t="str">
        <f>IF(OR(E218="V",G218="V"),"V",IF(AND(E218="None",G218="None"),"None",(IF(E218="None",0,E218)+IF(G218="None",0,G218)+IF(H218="Yes",CharacterSheet!$V$34,0))))</f>
        <v>None</v>
      </c>
      <c r="J218" s="57" t="s">
        <v>361</v>
      </c>
      <c r="K218" s="66">
        <f>IF(J218="no",0,IF(OR(F218="None",F218="Cheval",F218="Legend",F218="Mystery",F218="Prophecy",F218="TsukumoGami"),0,IF(F218="Varies","V",IF(AND(G218=0,CharacterSheet!$R$36="No"),0,IF(AND(G218=0,CharacterSheet!$R$36="Yes"),LOOKUP(D218,Reference!$N$2:$N$10,Reference!$O$2:$O$10),IF(G218&gt;0,LOOKUP(D218,Reference!$N$2:$N$10,Reference!$P$2:$P$10),"ERROR"))))))</f>
        <v>0</v>
      </c>
      <c r="L218" s="66" t="s">
        <v>361</v>
      </c>
      <c r="M218" s="66">
        <f>IF(E218="V","V",IF(J218="Yes",K218,0)+IF(L218="Yes",CharacterSheet!D169,0))</f>
        <v>0</v>
      </c>
      <c r="N218" s="66" t="s">
        <v>1072</v>
      </c>
      <c r="O218" s="66" t="s">
        <v>508</v>
      </c>
      <c r="P218" s="66" t="s">
        <v>1068</v>
      </c>
      <c r="Q218" s="188">
        <v>68</v>
      </c>
    </row>
    <row r="219" spans="1:17" x14ac:dyDescent="0.25">
      <c r="A219" s="86" t="s">
        <v>1114</v>
      </c>
      <c r="B219" s="39" t="s">
        <v>374</v>
      </c>
      <c r="C219" s="39">
        <v>1</v>
      </c>
      <c r="D219" s="66" t="s">
        <v>19</v>
      </c>
      <c r="E219" s="66">
        <f>LOOKUP(D219,Reference!$B$33:$B$46,Reference!$C$33:$C$46)</f>
        <v>1</v>
      </c>
      <c r="F219" s="66" t="s">
        <v>41</v>
      </c>
      <c r="G219" s="66">
        <f>LOOKUP(F219,Reference!$D$32:$D$55,Reference!$E$32:$E$55)</f>
        <v>0</v>
      </c>
      <c r="H219" s="66" t="s">
        <v>361</v>
      </c>
      <c r="I219" s="57">
        <f>IF(OR(E219="V",G219="V"),"V",IF(AND(E219="None",G219="None"),"None",(IF(E219="None",0,E219)+IF(G219="None",0,G219)+IF(H219="Yes",CharacterSheet!$V$34,0))))</f>
        <v>1</v>
      </c>
      <c r="J219" s="57" t="s">
        <v>360</v>
      </c>
      <c r="K219" s="66">
        <f>IF(J219="no",0,IF(OR(F219="None",F219="Cheval",F219="Legend",F219="Mystery",F219="Prophecy",F219="TsukumoGami"),0,IF(F219="Varies","V",IF(AND(G219=0,CharacterSheet!$R$36="No"),0,IF(AND(G219=0,CharacterSheet!$R$36="Yes"),LOOKUP(D219,Reference!$N$2:$N$10,Reference!$O$2:$O$10),IF(G219&gt;0,LOOKUP(D219,Reference!$N$2:$N$10,Reference!$P$2:$P$10),"ERROR"))))))</f>
        <v>0</v>
      </c>
      <c r="L219" s="66" t="s">
        <v>361</v>
      </c>
      <c r="M219" s="66">
        <f>IF(E219="V","V",IF(J219="Yes",K219,0)+IF(L219="Yes",CharacterSheet!D106,0))</f>
        <v>0</v>
      </c>
      <c r="N219" s="66" t="s">
        <v>508</v>
      </c>
      <c r="O219" s="66" t="s">
        <v>1548</v>
      </c>
      <c r="P219" s="66" t="s">
        <v>141</v>
      </c>
      <c r="Q219" s="188">
        <v>144</v>
      </c>
    </row>
    <row r="220" spans="1:17" x14ac:dyDescent="0.25">
      <c r="A220" s="86" t="s">
        <v>1471</v>
      </c>
      <c r="B220" s="39" t="s">
        <v>194</v>
      </c>
      <c r="C220" s="39">
        <v>7</v>
      </c>
      <c r="D220" s="66" t="s">
        <v>20</v>
      </c>
      <c r="E220" s="66">
        <f>LOOKUP(D220,Reference!$B$33:$B$46,Reference!$C$33:$C$46)</f>
        <v>1</v>
      </c>
      <c r="F220" s="66" t="s">
        <v>57</v>
      </c>
      <c r="G220" s="66">
        <f>LOOKUP(F220,Reference!$D$32:$D$55,Reference!$E$32:$E$55)</f>
        <v>0</v>
      </c>
      <c r="H220" s="66" t="s">
        <v>361</v>
      </c>
      <c r="I220" s="57">
        <f>IF(OR(E220="V",G220="V"),"V",IF(AND(E220="None",G220="None"),"None",(IF(E220="None",0,E220)+IF(G220="None",0,G220)+IF(H220="Yes",CharacterSheet!$V$34,0))))</f>
        <v>1</v>
      </c>
      <c r="J220" s="57" t="s">
        <v>360</v>
      </c>
      <c r="K220" s="66">
        <f>IF(J220="no",0,IF(OR(F220="None",F220="Cheval",F220="Legend",F220="Mystery",F220="Prophecy",F220="TsukumoGami"),0,IF(F220="Varies","V",IF(AND(G220=0,CharacterSheet!$R$36="No"),0,IF(AND(G220=0,CharacterSheet!$R$36="Yes"),LOOKUP(D220,Reference!$N$2:$N$10,Reference!$O$2:$O$10),IF(G220&gt;0,LOOKUP(D220,Reference!$N$2:$N$10,Reference!$P$2:$P$10),"ERROR"))))))</f>
        <v>0</v>
      </c>
      <c r="L220" s="66" t="s">
        <v>361</v>
      </c>
      <c r="M220" s="66">
        <f>IF(E220="V","V",IF(J220="Yes",K220,0)+IF(L220="Yes",CharacterSheet!D133,0))</f>
        <v>0</v>
      </c>
      <c r="N220" s="66" t="s">
        <v>1074</v>
      </c>
      <c r="O220" s="66" t="s">
        <v>1602</v>
      </c>
      <c r="P220" s="66" t="s">
        <v>1068</v>
      </c>
      <c r="Q220" s="188">
        <v>230</v>
      </c>
    </row>
    <row r="221" spans="1:17" x14ac:dyDescent="0.25">
      <c r="A221" s="86" t="s">
        <v>1335</v>
      </c>
      <c r="B221" s="39" t="s">
        <v>188</v>
      </c>
      <c r="C221" s="39">
        <v>8</v>
      </c>
      <c r="D221" s="66" t="s">
        <v>508</v>
      </c>
      <c r="E221" s="66" t="str">
        <f>LOOKUP(D221,Reference!$B$33:$B$46,Reference!$C$33:$C$46)</f>
        <v>None</v>
      </c>
      <c r="F221" s="66" t="s">
        <v>508</v>
      </c>
      <c r="G221" s="66" t="str">
        <f>LOOKUP(F221,Reference!$D$32:$D$55,Reference!$E$32:$E$55)</f>
        <v>None</v>
      </c>
      <c r="H221" s="66" t="s">
        <v>361</v>
      </c>
      <c r="I221" s="57" t="str">
        <f>IF(OR(E221="V",G221="V"),"V",IF(AND(E221="None",G221="None"),"None",(IF(E221="None",0,E221)+IF(G221="None",0,G221)+IF(H221="Yes",CharacterSheet!$V$34,0))))</f>
        <v>None</v>
      </c>
      <c r="J221" s="57" t="s">
        <v>361</v>
      </c>
      <c r="K221" s="66">
        <f>IF(J221="no",0,IF(OR(F221="None",F221="Cheval",F221="Legend",F221="Mystery",F221="Prophecy",F221="TsukumoGami"),0,IF(F221="Varies","V",IF(AND(G221=0,CharacterSheet!$R$36="No"),0,IF(AND(G221=0,CharacterSheet!$R$36="Yes"),LOOKUP(D221,Reference!$N$2:$N$10,Reference!$O$2:$O$10),IF(G221&gt;0,LOOKUP(D221,Reference!$N$2:$N$10,Reference!$P$2:$P$10),"ERROR"))))))</f>
        <v>0</v>
      </c>
      <c r="L221" s="66" t="s">
        <v>361</v>
      </c>
      <c r="M221" s="66">
        <f>IF(E221="V","V",IF(J221="Yes",K221,0)+IF(L221="Yes",CharacterSheet!D84,0))</f>
        <v>0</v>
      </c>
      <c r="N221" s="66" t="s">
        <v>1669</v>
      </c>
      <c r="O221" s="66" t="s">
        <v>508</v>
      </c>
      <c r="P221" s="66" t="s">
        <v>5</v>
      </c>
      <c r="Q221" s="188">
        <v>105</v>
      </c>
    </row>
    <row r="222" spans="1:17" x14ac:dyDescent="0.25">
      <c r="A222" s="86" t="s">
        <v>1455</v>
      </c>
      <c r="B222" s="39" t="s">
        <v>180</v>
      </c>
      <c r="C222" s="39">
        <v>2</v>
      </c>
      <c r="D222" s="66" t="s">
        <v>508</v>
      </c>
      <c r="E222" s="66" t="str">
        <f>LOOKUP(D222,Reference!$B$33:$B$46,Reference!$C$33:$C$46)</f>
        <v>None</v>
      </c>
      <c r="F222" s="66" t="s">
        <v>508</v>
      </c>
      <c r="G222" s="66" t="str">
        <f>LOOKUP(F222,Reference!$D$32:$D$55,Reference!$E$32:$E$55)</f>
        <v>None</v>
      </c>
      <c r="H222" s="66" t="s">
        <v>361</v>
      </c>
      <c r="I222" s="57" t="str">
        <f>IF(OR(E222="V",G222="V"),"V",IF(AND(E222="None",G222="None"),"None",(IF(E222="None",0,E222)+IF(G222="None",0,G222)+IF(H222="Yes",CharacterSheet!$V$34,0))))</f>
        <v>None</v>
      </c>
      <c r="J222" s="57" t="s">
        <v>361</v>
      </c>
      <c r="K222" s="66">
        <f>IF(J222="no",0,IF(OR(F222="None",F222="Cheval",F222="Legend",F222="Mystery",F222="Prophecy",F222="TsukumoGami"),0,IF(F222="Varies","V",IF(AND(G222=0,CharacterSheet!$R$36="No"),0,IF(AND(G222=0,CharacterSheet!$R$36="Yes"),LOOKUP(D222,Reference!$N$2:$N$10,Reference!$O$2:$O$10),IF(G222&gt;0,LOOKUP(D222,Reference!$N$2:$N$10,Reference!$P$2:$P$10),"ERROR"))))))</f>
        <v>0</v>
      </c>
      <c r="L222" s="66" t="s">
        <v>361</v>
      </c>
      <c r="M222" s="66">
        <f>IF(E222="V","V",IF(J222="Yes",K222,0)+IF(L222="Yes",CharacterSheet!D432,0))</f>
        <v>0</v>
      </c>
      <c r="N222" s="66" t="s">
        <v>1072</v>
      </c>
      <c r="O222" s="66" t="s">
        <v>508</v>
      </c>
      <c r="P222" s="66" t="s">
        <v>1068</v>
      </c>
      <c r="Q222" s="188">
        <v>173</v>
      </c>
    </row>
    <row r="223" spans="1:17" x14ac:dyDescent="0.25">
      <c r="A223" s="86" t="s">
        <v>1336</v>
      </c>
      <c r="B223" s="39" t="s">
        <v>188</v>
      </c>
      <c r="C223" s="39">
        <v>9</v>
      </c>
      <c r="D223" s="66" t="s">
        <v>20</v>
      </c>
      <c r="E223" s="66">
        <f>LOOKUP(D223,Reference!$B$33:$B$46,Reference!$C$33:$C$46)</f>
        <v>1</v>
      </c>
      <c r="F223" s="66" t="s">
        <v>51</v>
      </c>
      <c r="G223" s="66">
        <f>LOOKUP(F223,Reference!$D$32:$D$55,Reference!$E$32:$E$55)</f>
        <v>0</v>
      </c>
      <c r="H223" s="66" t="s">
        <v>361</v>
      </c>
      <c r="I223" s="57">
        <f>IF(OR(E223="V",G223="V"),"V",IF(AND(E223="None",G223="None"),"None",(IF(E223="None",0,E223)+IF(G223="None",0,G223)+IF(H223="Yes",CharacterSheet!$V$34,0))))</f>
        <v>1</v>
      </c>
      <c r="J223" s="57" t="s">
        <v>360</v>
      </c>
      <c r="K223" s="66">
        <f>IF(J223="no",0,IF(OR(F223="None",F223="Cheval",F223="Legend",F223="Mystery",F223="Prophecy",F223="TsukumoGami"),0,IF(F223="Varies","V",IF(AND(G223=0,CharacterSheet!$R$36="No"),0,IF(AND(G223=0,CharacterSheet!$R$36="Yes"),LOOKUP(D223,Reference!$N$2:$N$10,Reference!$O$2:$O$10),IF(G223&gt;0,LOOKUP(D223,Reference!$N$2:$N$10,Reference!$P$2:$P$10),"ERROR"))))))</f>
        <v>0</v>
      </c>
      <c r="L223" s="66" t="s">
        <v>361</v>
      </c>
      <c r="M223" s="66">
        <f>IF(E223="V","V",IF(J223="Yes",K223,0)+IF(L223="Yes",CharacterSheet!D130,0))</f>
        <v>0</v>
      </c>
      <c r="N223" s="66" t="s">
        <v>1670</v>
      </c>
      <c r="O223" s="66" t="s">
        <v>1687</v>
      </c>
      <c r="P223" s="66" t="s">
        <v>5</v>
      </c>
      <c r="Q223" s="188">
        <v>106</v>
      </c>
    </row>
    <row r="224" spans="1:17" x14ac:dyDescent="0.25">
      <c r="A224" s="86" t="s">
        <v>1240</v>
      </c>
      <c r="B224" s="39" t="s">
        <v>188</v>
      </c>
      <c r="C224" s="39">
        <v>6</v>
      </c>
      <c r="D224" s="66" t="s">
        <v>20</v>
      </c>
      <c r="E224" s="66">
        <f>LOOKUP(D224,Reference!$B$33:$B$46,Reference!$C$33:$C$46)</f>
        <v>1</v>
      </c>
      <c r="F224" s="66" t="s">
        <v>49</v>
      </c>
      <c r="G224" s="66">
        <f>LOOKUP(F224,Reference!$D$32:$D$55,Reference!$E$32:$E$55)</f>
        <v>0</v>
      </c>
      <c r="H224" s="66" t="s">
        <v>361</v>
      </c>
      <c r="I224" s="57">
        <f>IF(OR(E224="V",G224="V"),"V",IF(AND(E224="None",G224="None"),"None",(IF(E224="None",0,E224)+IF(G224="None",0,G224)+IF(H224="Yes",CharacterSheet!$V$34,0))))</f>
        <v>1</v>
      </c>
      <c r="J224" s="57" t="s">
        <v>360</v>
      </c>
      <c r="K224" s="66">
        <f>IF(J224="no",0,IF(OR(F224="None",F224="Cheval",F224="Legend",F224="Mystery",F224="Prophecy",F224="TsukumoGami"),0,IF(F224="Varies","V",IF(AND(G224=0,CharacterSheet!$R$36="No"),0,IF(AND(G224=0,CharacterSheet!$R$36="Yes"),LOOKUP(D224,Reference!$N$2:$N$10,Reference!$O$2:$O$10),IF(G224&gt;0,LOOKUP(D224,Reference!$N$2:$N$10,Reference!$P$2:$P$10),"ERROR"))))))</f>
        <v>0</v>
      </c>
      <c r="L224" s="66" t="s">
        <v>361</v>
      </c>
      <c r="M224" s="66">
        <f>IF(E224="V","V",IF(J224="Yes",K224,0)+IF(L224="Yes",CharacterSheet!D119,0))</f>
        <v>0</v>
      </c>
      <c r="N224" s="66" t="s">
        <v>1640</v>
      </c>
      <c r="O224" s="66" t="s">
        <v>1619</v>
      </c>
      <c r="P224" s="66" t="s">
        <v>1067</v>
      </c>
      <c r="Q224" s="188">
        <v>93</v>
      </c>
    </row>
    <row r="225" spans="1:17" x14ac:dyDescent="0.25">
      <c r="A225" s="86" t="s">
        <v>1454</v>
      </c>
      <c r="B225" s="39" t="s">
        <v>180</v>
      </c>
      <c r="C225" s="39">
        <v>1</v>
      </c>
      <c r="D225" s="66" t="s">
        <v>60</v>
      </c>
      <c r="E225" s="66">
        <f>LOOKUP(D225,Reference!$B$33:$B$46,Reference!$C$33:$C$46)</f>
        <v>0</v>
      </c>
      <c r="F225" s="66" t="s">
        <v>508</v>
      </c>
      <c r="G225" s="66" t="str">
        <f>LOOKUP(F225,Reference!$D$32:$D$55,Reference!$E$32:$E$55)</f>
        <v>None</v>
      </c>
      <c r="H225" s="66" t="s">
        <v>360</v>
      </c>
      <c r="I225" s="57">
        <f>IF(OR(E225="V",G225="V"),"V",IF(AND(E225="None",G225="None"),"None",(IF(E225="None",0,E225)+IF(G225="None",0,G225)+IF(H225="Yes",CharacterSheet!$V$34,0))))</f>
        <v>2</v>
      </c>
      <c r="J225" s="57" t="s">
        <v>361</v>
      </c>
      <c r="K225" s="66">
        <f>IF(J225="no",0,IF(OR(F225="None",F225="Cheval",F225="Legend",F225="Mystery",F225="Prophecy",F225="TsukumoGami"),0,IF(F225="Varies","V",IF(AND(G225=0,CharacterSheet!$R$36="No"),0,IF(AND(G225=0,CharacterSheet!$R$36="Yes"),LOOKUP(D225,Reference!$N$2:$N$10,Reference!$O$2:$O$10),IF(G225&gt;0,LOOKUP(D225,Reference!$N$2:$N$10,Reference!$P$2:$P$10),"ERROR"))))))</f>
        <v>0</v>
      </c>
      <c r="L225" s="66" t="s">
        <v>361</v>
      </c>
      <c r="M225" s="66">
        <f>IF(E225="V","V",IF(J225="Yes",K225,0)+IF(L225="Yes",CharacterSheet!D430,0))</f>
        <v>0</v>
      </c>
      <c r="N225" s="66" t="s">
        <v>508</v>
      </c>
      <c r="O225" s="66" t="s">
        <v>60</v>
      </c>
      <c r="P225" s="66" t="s">
        <v>1068</v>
      </c>
      <c r="Q225" s="188">
        <v>172</v>
      </c>
    </row>
    <row r="226" spans="1:17" x14ac:dyDescent="0.25">
      <c r="A226" s="86" t="s">
        <v>1404</v>
      </c>
      <c r="B226" s="39" t="s">
        <v>367</v>
      </c>
      <c r="C226" s="39">
        <v>5</v>
      </c>
      <c r="D226" s="66" t="s">
        <v>21</v>
      </c>
      <c r="E226" s="66">
        <f>LOOKUP(D226,Reference!$B$33:$B$46,Reference!$C$33:$C$46)</f>
        <v>1</v>
      </c>
      <c r="F226" s="66" t="s">
        <v>38</v>
      </c>
      <c r="G226" s="66">
        <f>LOOKUP(F226,Reference!$D$32:$D$55,Reference!$E$32:$E$55)</f>
        <v>0</v>
      </c>
      <c r="H226" s="66" t="s">
        <v>361</v>
      </c>
      <c r="I226" s="57">
        <f>IF(OR(E226="V",G226="V"),"V",IF(AND(E226="None",G226="None"),"None",(IF(E226="None",0,E226)+IF(G226="None",0,G226)+IF(H226="Yes",CharacterSheet!$V$34,0))))</f>
        <v>1</v>
      </c>
      <c r="J226" s="57" t="s">
        <v>360</v>
      </c>
      <c r="K226" s="66">
        <f>IF(J226="no",0,IF(OR(F226="None",F226="Cheval",F226="Legend",F226="Mystery",F226="Prophecy",F226="TsukumoGami"),0,IF(F226="Varies","V",IF(AND(G226=0,CharacterSheet!$R$36="No"),0,IF(AND(G226=0,CharacterSheet!$R$36="Yes"),LOOKUP(D226,Reference!$N$2:$N$10,Reference!$O$2:$O$10),IF(G226&gt;0,LOOKUP(D226,Reference!$N$2:$N$10,Reference!$P$2:$P$10),"ERROR"))))))</f>
        <v>0</v>
      </c>
      <c r="L226" s="66" t="s">
        <v>361</v>
      </c>
      <c r="M226" s="66">
        <f>IF(E226="V","V",IF(J226="Yes",K226,0)+IF(L226="Yes",CharacterSheet!D209,0))</f>
        <v>0</v>
      </c>
      <c r="N226" s="66" t="s">
        <v>1074</v>
      </c>
      <c r="O226" s="66" t="s">
        <v>1707</v>
      </c>
      <c r="P226" s="66" t="s">
        <v>1068</v>
      </c>
      <c r="Q226" s="188">
        <v>71</v>
      </c>
    </row>
    <row r="227" spans="1:17" x14ac:dyDescent="0.25">
      <c r="A227" s="86" t="s">
        <v>1185</v>
      </c>
      <c r="B227" s="39" t="s">
        <v>370</v>
      </c>
      <c r="C227" s="39">
        <v>7</v>
      </c>
      <c r="D227" s="66" t="s">
        <v>30</v>
      </c>
      <c r="E227" s="66">
        <f>LOOKUP(D227,Reference!$B$33:$B$46,Reference!$C$33:$C$46)</f>
        <v>1</v>
      </c>
      <c r="F227" s="66" t="s">
        <v>57</v>
      </c>
      <c r="G227" s="66">
        <f>LOOKUP(F227,Reference!$D$32:$D$55,Reference!$E$32:$E$55)</f>
        <v>0</v>
      </c>
      <c r="H227" s="66" t="s">
        <v>361</v>
      </c>
      <c r="I227" s="57">
        <f>IF(OR(E227="V",G227="V"),"V",IF(AND(E227="None",G227="None"),"None",(IF(E227="None",0,E227)+IF(G227="None",0,G227)+IF(H227="Yes",CharacterSheet!$V$34,0))))</f>
        <v>1</v>
      </c>
      <c r="J227" s="57" t="s">
        <v>360</v>
      </c>
      <c r="K227" s="66">
        <f>IF(J227="no",0,IF(OR(F227="None",F227="Cheval",F227="Legend",F227="Mystery",F227="Prophecy",F227="TsukumoGami"),0,IF(F227="Varies","V",IF(AND(G227=0,CharacterSheet!$R$36="No"),0,IF(AND(G227=0,CharacterSheet!$R$36="Yes"),LOOKUP(D227,Reference!$N$2:$N$10,Reference!$O$2:$O$10),IF(G227&gt;0,LOOKUP(D227,Reference!$N$2:$N$10,Reference!$P$2:$P$10),"ERROR"))))))</f>
        <v>0</v>
      </c>
      <c r="L227" s="66" t="s">
        <v>361</v>
      </c>
      <c r="M227" s="66">
        <f>IF(E227="V","V",IF(J227="Yes",K227,0)+IF(L227="Yes",CharacterSheet!D335,0))</f>
        <v>0</v>
      </c>
      <c r="N227" s="66" t="s">
        <v>1630</v>
      </c>
      <c r="O227" s="66" t="s">
        <v>1604</v>
      </c>
      <c r="P227" s="66" t="s">
        <v>1067</v>
      </c>
      <c r="Q227" s="188">
        <v>75</v>
      </c>
    </row>
    <row r="228" spans="1:17" x14ac:dyDescent="0.25">
      <c r="A228" s="86" t="s">
        <v>1389</v>
      </c>
      <c r="B228" s="39" t="s">
        <v>190</v>
      </c>
      <c r="C228" s="39">
        <v>8</v>
      </c>
      <c r="D228" s="66" t="s">
        <v>16</v>
      </c>
      <c r="E228" s="66">
        <f>LOOKUP(D228,Reference!$B$33:$B$46,Reference!$C$33:$C$46)</f>
        <v>1</v>
      </c>
      <c r="F228" s="66" t="s">
        <v>51</v>
      </c>
      <c r="G228" s="66">
        <f>LOOKUP(F228,Reference!$D$32:$D$55,Reference!$E$32:$E$55)</f>
        <v>0</v>
      </c>
      <c r="H228" s="66" t="s">
        <v>361</v>
      </c>
      <c r="I228" s="57">
        <f>IF(OR(E228="V",G228="V"),"V",IF(AND(E228="None",G228="None"),"None",(IF(E228="None",0,E228)+IF(G228="None",0,G228)+IF(H228="Yes",CharacterSheet!$V$34,0))))</f>
        <v>1</v>
      </c>
      <c r="J228" s="57" t="s">
        <v>360</v>
      </c>
      <c r="K228" s="66">
        <f>IF(J228="no",0,IF(OR(F228="None",F228="Cheval",F228="Legend",F228="Mystery",F228="Prophecy",F228="TsukumoGami"),0,IF(F228="Varies","V",IF(AND(G228=0,CharacterSheet!$R$36="No"),0,IF(AND(G228=0,CharacterSheet!$R$36="Yes"),LOOKUP(D228,Reference!$N$2:$N$10,Reference!$O$2:$O$10),IF(G228&gt;0,LOOKUP(D228,Reference!$N$2:$N$10,Reference!$P$2:$P$10),"ERROR"))))))</f>
        <v>0</v>
      </c>
      <c r="L228" s="66" t="s">
        <v>361</v>
      </c>
      <c r="M228" s="66">
        <f>IF(E228="V","V",IF(J228="Yes",K228,0)+IF(L228="Yes",CharacterSheet!D343,0))</f>
        <v>0</v>
      </c>
      <c r="N228" s="66" t="s">
        <v>1086</v>
      </c>
      <c r="O228" s="66" t="s">
        <v>1559</v>
      </c>
      <c r="P228" s="66" t="s">
        <v>1068</v>
      </c>
      <c r="Q228" s="188">
        <v>25</v>
      </c>
    </row>
    <row r="229" spans="1:17" x14ac:dyDescent="0.25">
      <c r="A229" s="86" t="s">
        <v>1387</v>
      </c>
      <c r="B229" s="39" t="s">
        <v>190</v>
      </c>
      <c r="C229" s="39">
        <v>6</v>
      </c>
      <c r="D229" s="66" t="s">
        <v>16</v>
      </c>
      <c r="E229" s="66">
        <f>LOOKUP(D229,Reference!$B$33:$B$46,Reference!$C$33:$C$46)</f>
        <v>1</v>
      </c>
      <c r="F229" s="66" t="s">
        <v>51</v>
      </c>
      <c r="G229" s="66">
        <f>LOOKUP(F229,Reference!$D$32:$D$55,Reference!$E$32:$E$55)</f>
        <v>0</v>
      </c>
      <c r="H229" s="66" t="s">
        <v>361</v>
      </c>
      <c r="I229" s="57">
        <f>IF(OR(E229="V",G229="V"),"V",IF(AND(E229="None",G229="None"),"None",(IF(E229="None",0,E229)+IF(G229="None",0,G229)+IF(H229="Yes",CharacterSheet!$V$34,0))))</f>
        <v>1</v>
      </c>
      <c r="J229" s="57" t="s">
        <v>360</v>
      </c>
      <c r="K229" s="66">
        <f>IF(J229="no",0,IF(OR(F229="None",F229="Cheval",F229="Legend",F229="Mystery",F229="Prophecy",F229="TsukumoGami"),0,IF(F229="Varies","V",IF(AND(G229=0,CharacterSheet!$R$36="No"),0,IF(AND(G229=0,CharacterSheet!$R$36="Yes"),LOOKUP(D229,Reference!$N$2:$N$10,Reference!$O$2:$O$10),IF(G229&gt;0,LOOKUP(D229,Reference!$N$2:$N$10,Reference!$P$2:$P$10),"ERROR"))))))</f>
        <v>0</v>
      </c>
      <c r="L229" s="66" t="s">
        <v>361</v>
      </c>
      <c r="M229" s="66">
        <f>IF(E229="V","V",IF(J229="Yes",K229,0)+IF(L229="Yes",CharacterSheet!D390,0))</f>
        <v>0</v>
      </c>
      <c r="N229" s="66" t="s">
        <v>1086</v>
      </c>
      <c r="O229" s="66" t="s">
        <v>1559</v>
      </c>
      <c r="P229" s="66" t="s">
        <v>1068</v>
      </c>
      <c r="Q229" s="188">
        <v>24</v>
      </c>
    </row>
    <row r="230" spans="1:17" x14ac:dyDescent="0.25">
      <c r="A230" s="86" t="s">
        <v>1384</v>
      </c>
      <c r="B230" s="39" t="s">
        <v>190</v>
      </c>
      <c r="C230" s="39">
        <v>3</v>
      </c>
      <c r="D230" s="66" t="s">
        <v>16</v>
      </c>
      <c r="E230" s="66">
        <f>LOOKUP(D230,Reference!$B$33:$B$46,Reference!$C$33:$C$46)</f>
        <v>1</v>
      </c>
      <c r="F230" s="66" t="s">
        <v>51</v>
      </c>
      <c r="G230" s="66">
        <f>LOOKUP(F230,Reference!$D$32:$D$55,Reference!$E$32:$E$55)</f>
        <v>0</v>
      </c>
      <c r="H230" s="66" t="s">
        <v>361</v>
      </c>
      <c r="I230" s="57">
        <f>IF(OR(E230="V",G230="V"),"V",IF(AND(E230="None",G230="None"),"None",(IF(E230="None",0,E230)+IF(G230="None",0,G230)+IF(H230="Yes",CharacterSheet!$V$34,0))))</f>
        <v>1</v>
      </c>
      <c r="J230" s="57" t="s">
        <v>360</v>
      </c>
      <c r="K230" s="66">
        <f>IF(J230="no",0,IF(OR(F230="None",F230="Cheval",F230="Legend",F230="Mystery",F230="Prophecy",F230="TsukumoGami"),0,IF(F230="Varies","V",IF(AND(G230=0,CharacterSheet!$R$36="No"),0,IF(AND(G230=0,CharacterSheet!$R$36="Yes"),LOOKUP(D230,Reference!$N$2:$N$10,Reference!$O$2:$O$10),IF(G230&gt;0,LOOKUP(D230,Reference!$N$2:$N$10,Reference!$P$2:$P$10),"ERROR"))))))</f>
        <v>0</v>
      </c>
      <c r="L230" s="66" t="s">
        <v>361</v>
      </c>
      <c r="M230" s="66">
        <f>IF(E230="V","V",IF(J230="Yes",K230,0)+IF(L230="Yes",CharacterSheet!D159,0))</f>
        <v>0</v>
      </c>
      <c r="N230" s="66" t="s">
        <v>1626</v>
      </c>
      <c r="O230" s="66" t="s">
        <v>1559</v>
      </c>
      <c r="P230" s="66" t="s">
        <v>1068</v>
      </c>
      <c r="Q230" s="188">
        <v>22</v>
      </c>
    </row>
    <row r="231" spans="1:17" x14ac:dyDescent="0.25">
      <c r="A231" s="86" t="s">
        <v>1435</v>
      </c>
      <c r="B231" s="39" t="s">
        <v>385</v>
      </c>
      <c r="C231" s="39">
        <v>2</v>
      </c>
      <c r="D231" s="66" t="s">
        <v>21</v>
      </c>
      <c r="E231" s="66">
        <f>LOOKUP(D231,Reference!$B$33:$B$46,Reference!$C$33:$C$46)</f>
        <v>1</v>
      </c>
      <c r="F231" s="66" t="s">
        <v>41</v>
      </c>
      <c r="G231" s="66">
        <f>LOOKUP(F231,Reference!$D$32:$D$55,Reference!$E$32:$E$55)</f>
        <v>0</v>
      </c>
      <c r="H231" s="66" t="s">
        <v>361</v>
      </c>
      <c r="I231" s="57">
        <f>IF(OR(E231="V",G231="V"),"V",IF(AND(E231="None",G231="None"),"None",(IF(E231="None",0,E231)+IF(G231="None",0,G231)+IF(H231="Yes",CharacterSheet!$V$34,0))))</f>
        <v>1</v>
      </c>
      <c r="J231" s="57" t="s">
        <v>360</v>
      </c>
      <c r="K231" s="66">
        <f>IF(J231="no",0,IF(OR(F231="None",F231="Cheval",F231="Legend",F231="Mystery",F231="Prophecy",F231="TsukumoGami"),0,IF(F231="Varies","V",IF(AND(G231=0,CharacterSheet!$R$36="No"),0,IF(AND(G231=0,CharacterSheet!$R$36="Yes"),LOOKUP(D231,Reference!$N$2:$N$10,Reference!$O$2:$O$10),IF(G231&gt;0,LOOKUP(D231,Reference!$N$2:$N$10,Reference!$P$2:$P$10),"ERROR"))))))</f>
        <v>0</v>
      </c>
      <c r="L231" s="66" t="s">
        <v>361</v>
      </c>
      <c r="M231" s="66">
        <f>IF(E231="V","V",IF(J231="Yes",K231,0)+IF(L231="Yes",CharacterSheet!D408,0))</f>
        <v>0</v>
      </c>
      <c r="N231" s="66" t="s">
        <v>1689</v>
      </c>
      <c r="O231" s="66" t="s">
        <v>1545</v>
      </c>
      <c r="P231" s="66" t="s">
        <v>1068</v>
      </c>
      <c r="Q231" s="188">
        <v>80</v>
      </c>
    </row>
    <row r="232" spans="1:17" x14ac:dyDescent="0.25">
      <c r="A232" s="86" t="s">
        <v>1216</v>
      </c>
      <c r="B232" s="39" t="s">
        <v>377</v>
      </c>
      <c r="C232" s="39">
        <v>6</v>
      </c>
      <c r="D232" s="66" t="s">
        <v>21</v>
      </c>
      <c r="E232" s="66">
        <f>LOOKUP(D232,Reference!$B$33:$B$46,Reference!$C$33:$C$46)</f>
        <v>1</v>
      </c>
      <c r="F232" s="66" t="s">
        <v>46</v>
      </c>
      <c r="G232" s="66">
        <f>LOOKUP(F232,Reference!$D$32:$D$55,Reference!$E$32:$E$55)</f>
        <v>0</v>
      </c>
      <c r="H232" s="66" t="s">
        <v>361</v>
      </c>
      <c r="I232" s="57">
        <f>IF(OR(E232="V",G232="V"),"V",IF(AND(E232="None",G232="None"),"None",(IF(E232="None",0,E232)+IF(G232="None",0,G232)+IF(H232="Yes",CharacterSheet!$V$34,0))))</f>
        <v>1</v>
      </c>
      <c r="J232" s="57" t="s">
        <v>360</v>
      </c>
      <c r="K232" s="66">
        <f>IF(J232="no",0,IF(OR(F232="None",F232="Cheval",F232="Legend",F232="Mystery",F232="Prophecy",F232="TsukumoGami"),0,IF(F232="Varies","V",IF(AND(G232=0,CharacterSheet!$R$36="No"),0,IF(AND(G232=0,CharacterSheet!$R$36="Yes"),LOOKUP(D232,Reference!$N$2:$N$10,Reference!$O$2:$O$10),IF(G232&gt;0,LOOKUP(D232,Reference!$N$2:$N$10,Reference!$P$2:$P$10),"ERROR"))))))</f>
        <v>0</v>
      </c>
      <c r="L232" s="66" t="s">
        <v>361</v>
      </c>
      <c r="M232" s="66">
        <f>IF(E232="V","V",IF(J232="Yes",K232,0)+IF(L232="Yes",CharacterSheet!D208,0))</f>
        <v>0</v>
      </c>
      <c r="N232" s="66" t="s">
        <v>1587</v>
      </c>
      <c r="O232" s="66" t="s">
        <v>1613</v>
      </c>
      <c r="P232" s="66" t="s">
        <v>1067</v>
      </c>
      <c r="Q232" s="188">
        <v>87</v>
      </c>
    </row>
    <row r="233" spans="1:17" x14ac:dyDescent="0.25">
      <c r="A233" s="86" t="s">
        <v>1428</v>
      </c>
      <c r="B233" s="39" t="s">
        <v>379</v>
      </c>
      <c r="C233" s="39">
        <v>3</v>
      </c>
      <c r="D233" s="66" t="s">
        <v>16</v>
      </c>
      <c r="E233" s="66">
        <f>LOOKUP(D233,Reference!$B$33:$B$46,Reference!$C$33:$C$46)</f>
        <v>1</v>
      </c>
      <c r="F233" s="66" t="s">
        <v>47</v>
      </c>
      <c r="G233" s="66">
        <f>LOOKUP(F233,Reference!$D$32:$D$55,Reference!$E$32:$E$55)</f>
        <v>0</v>
      </c>
      <c r="H233" s="66" t="s">
        <v>361</v>
      </c>
      <c r="I233" s="57">
        <f>IF(OR(E233="V",G233="V"),"V",IF(AND(E233="None",G233="None"),"None",(IF(E233="None",0,E233)+IF(G233="None",0,G233)+IF(H233="Yes",CharacterSheet!$V$34,0))))</f>
        <v>1</v>
      </c>
      <c r="J233" s="57" t="s">
        <v>360</v>
      </c>
      <c r="K233" s="66">
        <f>IF(J233="no",0,IF(OR(F233="None",F233="Cheval",F233="Legend",F233="Mystery",F233="Prophecy",F233="TsukumoGami"),0,IF(F233="Varies","V",IF(AND(G233=0,CharacterSheet!$R$36="No"),0,IF(AND(G233=0,CharacterSheet!$R$36="Yes"),LOOKUP(D233,Reference!$N$2:$N$10,Reference!$O$2:$O$10),IF(G233&gt;0,LOOKUP(D233,Reference!$N$2:$N$10,Reference!$P$2:$P$10),"ERROR"))))))</f>
        <v>0</v>
      </c>
      <c r="L233" s="66" t="s">
        <v>361</v>
      </c>
      <c r="M233" s="66">
        <f>IF(E233="V","V",IF(J233="Yes",K233,0)+IF(L233="Yes",CharacterSheet!D197,0))</f>
        <v>0</v>
      </c>
      <c r="N233" s="66" t="s">
        <v>1072</v>
      </c>
      <c r="O233" s="66" t="s">
        <v>1711</v>
      </c>
      <c r="P233" s="66" t="s">
        <v>1068</v>
      </c>
      <c r="Q233" s="188">
        <v>78</v>
      </c>
    </row>
    <row r="234" spans="1:17" x14ac:dyDescent="0.25">
      <c r="A234" s="86" t="s">
        <v>1326</v>
      </c>
      <c r="B234" s="39" t="s">
        <v>381</v>
      </c>
      <c r="C234" s="39">
        <v>9</v>
      </c>
      <c r="D234" s="66" t="s">
        <v>508</v>
      </c>
      <c r="E234" s="66" t="str">
        <f>LOOKUP(D234,Reference!$B$33:$B$46,Reference!$C$33:$C$46)</f>
        <v>None</v>
      </c>
      <c r="F234" s="66" t="s">
        <v>508</v>
      </c>
      <c r="G234" s="66" t="str">
        <f>LOOKUP(F234,Reference!$D$32:$D$55,Reference!$E$32:$E$55)</f>
        <v>None</v>
      </c>
      <c r="H234" s="66" t="s">
        <v>361</v>
      </c>
      <c r="I234" s="57" t="str">
        <f>IF(OR(E234="V",G234="V"),"V",IF(AND(E234="None",G234="None"),"None",(IF(E234="None",0,E234)+IF(G234="None",0,G234)+IF(H234="Yes",CharacterSheet!$V$34,0))))</f>
        <v>None</v>
      </c>
      <c r="J234" s="57" t="s">
        <v>361</v>
      </c>
      <c r="K234" s="66">
        <f>IF(J234="no",0,IF(OR(F234="None",F234="Cheval",F234="Legend",F234="Mystery",F234="Prophecy",F234="TsukumoGami"),0,IF(F234="Varies","V",IF(AND(G234=0,CharacterSheet!$R$36="No"),0,IF(AND(G234=0,CharacterSheet!$R$36="Yes"),LOOKUP(D234,Reference!$N$2:$N$10,Reference!$O$2:$O$10),IF(G234&gt;0,LOOKUP(D234,Reference!$N$2:$N$10,Reference!$P$2:$P$10),"ERROR"))))))</f>
        <v>0</v>
      </c>
      <c r="L234" s="66" t="s">
        <v>361</v>
      </c>
      <c r="M234" s="66">
        <f>IF(E234="V","V",IF(J234="Yes",K234,0)+IF(L234="Yes",CharacterSheet!D341,0))</f>
        <v>0</v>
      </c>
      <c r="N234" s="66" t="s">
        <v>1631</v>
      </c>
      <c r="O234" s="66" t="s">
        <v>508</v>
      </c>
      <c r="P234" s="66" t="s">
        <v>5</v>
      </c>
      <c r="Q234" s="188">
        <v>103</v>
      </c>
    </row>
    <row r="235" spans="1:17" x14ac:dyDescent="0.25">
      <c r="A235" s="86" t="s">
        <v>1393</v>
      </c>
      <c r="B235" s="39" t="s">
        <v>1366</v>
      </c>
      <c r="C235" s="39">
        <v>2</v>
      </c>
      <c r="D235" s="66" t="s">
        <v>20</v>
      </c>
      <c r="E235" s="66">
        <f>LOOKUP(D235,Reference!$B$33:$B$46,Reference!$C$33:$C$46)</f>
        <v>1</v>
      </c>
      <c r="F235" s="66" t="s">
        <v>58</v>
      </c>
      <c r="G235" s="66">
        <f>LOOKUP(F235,Reference!$D$32:$D$55,Reference!$E$32:$E$55)</f>
        <v>0</v>
      </c>
      <c r="H235" s="66" t="s">
        <v>361</v>
      </c>
      <c r="I235" s="57">
        <f>IF(OR(E235="V",G235="V"),"V",IF(AND(E235="None",G235="None"),"None",(IF(E235="None",0,E235)+IF(G235="None",0,G235)+IF(H235="Yes",CharacterSheet!$V$34,0))))</f>
        <v>1</v>
      </c>
      <c r="J235" s="57" t="s">
        <v>360</v>
      </c>
      <c r="K235" s="66">
        <f>IF(J235="no",0,IF(OR(F235="None",F235="Cheval",F235="Legend",F235="Mystery",F235="Prophecy",F235="TsukumoGami"),0,IF(F235="Varies","V",IF(AND(G235=0,CharacterSheet!$R$36="No"),0,IF(AND(G235=0,CharacterSheet!$R$36="Yes"),LOOKUP(D235,Reference!$N$2:$N$10,Reference!$O$2:$O$10),IF(G235&gt;0,LOOKUP(D235,Reference!$N$2:$N$10,Reference!$P$2:$P$10),"ERROR"))))))</f>
        <v>0</v>
      </c>
      <c r="L235" s="66" t="s">
        <v>361</v>
      </c>
      <c r="M235" s="66">
        <f>IF(E235="V","V",IF(J235="Yes",K235,0)+IF(L235="Yes",CharacterSheet!D197,0))</f>
        <v>0</v>
      </c>
      <c r="N235" s="66" t="s">
        <v>1072</v>
      </c>
      <c r="O235" s="66" t="s">
        <v>1681</v>
      </c>
      <c r="P235" s="66" t="s">
        <v>1068</v>
      </c>
      <c r="Q235" s="188">
        <v>68</v>
      </c>
    </row>
    <row r="236" spans="1:17" x14ac:dyDescent="0.25">
      <c r="A236" s="86" t="s">
        <v>1449</v>
      </c>
      <c r="B236" s="39" t="s">
        <v>177</v>
      </c>
      <c r="C236" s="39">
        <v>6</v>
      </c>
      <c r="D236" s="66" t="s">
        <v>21</v>
      </c>
      <c r="E236" s="66">
        <f>LOOKUP(D236,Reference!$B$33:$B$46,Reference!$C$33:$C$46)</f>
        <v>1</v>
      </c>
      <c r="F236" s="66" t="s">
        <v>47</v>
      </c>
      <c r="G236" s="66">
        <f>LOOKUP(F236,Reference!$D$32:$D$55,Reference!$E$32:$E$55)</f>
        <v>0</v>
      </c>
      <c r="H236" s="66" t="s">
        <v>361</v>
      </c>
      <c r="I236" s="57">
        <f>IF(OR(E236="V",G236="V"),"V",IF(AND(E236="None",G236="None"),"None",(IF(E236="None",0,E236)+IF(G236="None",0,G236)+IF(H236="Yes",CharacterSheet!$V$34,0))))</f>
        <v>1</v>
      </c>
      <c r="J236" s="57" t="s">
        <v>360</v>
      </c>
      <c r="K236" s="66">
        <f>IF(J236="no",0,IF(OR(F236="None",F236="Cheval",F236="Legend",F236="Mystery",F236="Prophecy",F236="TsukumoGami"),0,IF(F236="Varies","V",IF(AND(G236=0,CharacterSheet!$R$36="No"),0,IF(AND(G236=0,CharacterSheet!$R$36="Yes"),LOOKUP(D236,Reference!$N$2:$N$10,Reference!$O$2:$O$10),IF(G236&gt;0,LOOKUP(D236,Reference!$N$2:$N$10,Reference!$P$2:$P$10),"ERROR"))))))</f>
        <v>0</v>
      </c>
      <c r="L236" s="66" t="s">
        <v>361</v>
      </c>
      <c r="M236" s="66">
        <f>IF(E236="V","V",IF(J236="Yes",K236,0)+IF(L236="Yes",CharacterSheet!D56,0))</f>
        <v>0</v>
      </c>
      <c r="N236" s="66" t="s">
        <v>1074</v>
      </c>
      <c r="O236" s="66" t="s">
        <v>1680</v>
      </c>
      <c r="P236" s="66" t="s">
        <v>1068</v>
      </c>
      <c r="Q236" s="188">
        <v>98</v>
      </c>
    </row>
    <row r="237" spans="1:17" x14ac:dyDescent="0.25">
      <c r="A237" s="87" t="s">
        <v>1526</v>
      </c>
      <c r="B237" s="66" t="s">
        <v>703</v>
      </c>
      <c r="C237" s="39">
        <v>5</v>
      </c>
      <c r="D237" s="66" t="s">
        <v>17</v>
      </c>
      <c r="E237" s="66">
        <f>LOOKUP(D237,Reference!$B$33:$B$46,Reference!$C$33:$C$46)</f>
        <v>1</v>
      </c>
      <c r="F237" s="66" t="s">
        <v>51</v>
      </c>
      <c r="G237" s="66">
        <f>LOOKUP(F237,Reference!$D$32:$D$55,Reference!$E$32:$E$55)</f>
        <v>0</v>
      </c>
      <c r="H237" s="66" t="s">
        <v>361</v>
      </c>
      <c r="I237" s="57">
        <f>IF(OR(E237="V",G237="V"),"V",IF(AND(E237="None",G237="None"),"None",(IF(E237="None",0,E237)+IF(G237="None",0,G237)+IF(H237="Yes",CharacterSheet!$V$34,0))))</f>
        <v>1</v>
      </c>
      <c r="J237" s="57" t="s">
        <v>360</v>
      </c>
      <c r="K237" s="66">
        <f>IF(J237="no",0,IF(OR(F237="None",F237="Cheval",F237="Legend",F237="Mystery",F237="Prophecy",F237="TsukumoGami"),0,IF(F237="Varies","V",IF(AND(G237=0,CharacterSheet!$R$36="No"),0,IF(AND(G237=0,CharacterSheet!$R$36="Yes"),LOOKUP(D237,Reference!$N$2:$N$10,Reference!$O$2:$O$10),IF(G237&gt;0,LOOKUP(D237,Reference!$N$2:$N$10,Reference!$P$2:$P$10),"ERROR"))))))</f>
        <v>0</v>
      </c>
      <c r="L237" s="66" t="s">
        <v>361</v>
      </c>
      <c r="M237" s="66">
        <f>IF(E237="V","V",IF(J237="Yes",K237,0)+IF(L237="Yes",CharacterSheet!D116,0))</f>
        <v>0</v>
      </c>
      <c r="N237" s="66" t="s">
        <v>1074</v>
      </c>
      <c r="O237" s="66" t="s">
        <v>1576</v>
      </c>
      <c r="P237" s="66" t="s">
        <v>1507</v>
      </c>
      <c r="Q237" s="188">
        <v>41</v>
      </c>
    </row>
    <row r="238" spans="1:17" x14ac:dyDescent="0.25">
      <c r="A238" s="86" t="s">
        <v>1501</v>
      </c>
      <c r="B238" s="39" t="s">
        <v>378</v>
      </c>
      <c r="C238" s="39">
        <v>6</v>
      </c>
      <c r="D238" s="66" t="s">
        <v>19</v>
      </c>
      <c r="E238" s="66">
        <f>LOOKUP(D238,Reference!$B$33:$B$46,Reference!$C$33:$C$46)</f>
        <v>1</v>
      </c>
      <c r="F238" s="66" t="s">
        <v>38</v>
      </c>
      <c r="G238" s="66">
        <f>LOOKUP(F238,Reference!$D$32:$D$55,Reference!$E$32:$E$55)</f>
        <v>0</v>
      </c>
      <c r="H238" s="66" t="s">
        <v>361</v>
      </c>
      <c r="I238" s="57">
        <f>IF(OR(E238="V",G238="V"),"V",IF(AND(E238="None",G238="None"),"None",(IF(E238="None",0,E238)+IF(G238="None",0,G238)+IF(H238="Yes",CharacterSheet!$V$34,0))))</f>
        <v>1</v>
      </c>
      <c r="J238" s="57" t="s">
        <v>360</v>
      </c>
      <c r="K238" s="66">
        <f>IF(J238="no",0,IF(OR(F238="None",F238="Cheval",F238="Legend",F238="Mystery",F238="Prophecy",F238="TsukumoGami"),0,IF(F238="Varies","V",IF(AND(G238=0,CharacterSheet!$R$36="No"),0,IF(AND(G238=0,CharacterSheet!$R$36="Yes"),LOOKUP(D238,Reference!$N$2:$N$10,Reference!$O$2:$O$10),IF(G238&gt;0,LOOKUP(D238,Reference!$N$2:$N$10,Reference!$P$2:$P$10),"ERROR"))))))</f>
        <v>0</v>
      </c>
      <c r="L238" s="66" t="s">
        <v>361</v>
      </c>
      <c r="M238" s="66">
        <f>IF(E238="V","V",IF(J238="Yes",K238,0)+IF(L238="Yes",CharacterSheet!D106,0))</f>
        <v>0</v>
      </c>
      <c r="N238" s="66" t="s">
        <v>1074</v>
      </c>
      <c r="O238" s="66" t="s">
        <v>1550</v>
      </c>
      <c r="P238" s="66" t="s">
        <v>1485</v>
      </c>
      <c r="Q238" s="188">
        <v>18</v>
      </c>
    </row>
    <row r="239" spans="1:17" x14ac:dyDescent="0.25">
      <c r="A239" s="86" t="s">
        <v>1206</v>
      </c>
      <c r="B239" s="39" t="s">
        <v>375</v>
      </c>
      <c r="C239" s="39">
        <v>4</v>
      </c>
      <c r="D239" s="66" t="s">
        <v>17</v>
      </c>
      <c r="E239" s="66">
        <f>LOOKUP(D239,Reference!$B$33:$B$46,Reference!$C$33:$C$46)</f>
        <v>1</v>
      </c>
      <c r="F239" s="66" t="s">
        <v>51</v>
      </c>
      <c r="G239" s="66">
        <f>LOOKUP(F239,Reference!$D$32:$D$55,Reference!$E$32:$E$55)</f>
        <v>0</v>
      </c>
      <c r="H239" s="66" t="s">
        <v>361</v>
      </c>
      <c r="I239" s="57">
        <f>IF(OR(E239="V",G239="V"),"V",IF(AND(E239="None",G239="None"),"None",(IF(E239="None",0,E239)+IF(G239="None",0,G239)+IF(H239="Yes",CharacterSheet!$V$34,0))))</f>
        <v>1</v>
      </c>
      <c r="J239" s="57" t="s">
        <v>360</v>
      </c>
      <c r="K239" s="66">
        <f>IF(J239="no",0,IF(OR(F239="None",F239="Cheval",F239="Legend",F239="Mystery",F239="Prophecy",F239="TsukumoGami"),0,IF(F239="Varies","V",IF(AND(G239=0,CharacterSheet!$R$36="No"),0,IF(AND(G239=0,CharacterSheet!$R$36="Yes"),LOOKUP(D239,Reference!$N$2:$N$10,Reference!$O$2:$O$10),IF(G239&gt;0,LOOKUP(D239,Reference!$N$2:$N$10,Reference!$P$2:$P$10),"ERROR"))))))</f>
        <v>0</v>
      </c>
      <c r="L239" s="66" t="s">
        <v>361</v>
      </c>
      <c r="M239" s="66">
        <f>IF(E239="V","V",IF(J239="Yes",K239,0)+IF(L239="Yes",CharacterSheet!D180,0))</f>
        <v>0</v>
      </c>
      <c r="N239" s="66" t="s">
        <v>1583</v>
      </c>
      <c r="O239" s="66" t="s">
        <v>1576</v>
      </c>
      <c r="P239" s="66" t="s">
        <v>1067</v>
      </c>
      <c r="Q239" s="188">
        <v>83</v>
      </c>
    </row>
    <row r="240" spans="1:17" x14ac:dyDescent="0.25">
      <c r="A240" s="86" t="s">
        <v>1306</v>
      </c>
      <c r="B240" s="39" t="s">
        <v>375</v>
      </c>
      <c r="C240" s="39">
        <v>9</v>
      </c>
      <c r="D240" s="66" t="s">
        <v>508</v>
      </c>
      <c r="E240" s="66" t="str">
        <f>LOOKUP(D240,Reference!$B$33:$B$46,Reference!$C$33:$C$46)</f>
        <v>None</v>
      </c>
      <c r="F240" s="66" t="s">
        <v>508</v>
      </c>
      <c r="G240" s="66" t="str">
        <f>LOOKUP(F240,Reference!$D$32:$D$55,Reference!$E$32:$E$55)</f>
        <v>None</v>
      </c>
      <c r="H240" s="66" t="s">
        <v>361</v>
      </c>
      <c r="I240" s="57" t="str">
        <f>IF(OR(E240="V",G240="V"),"V",IF(AND(E240="None",G240="None"),"None",(IF(E240="None",0,E240)+IF(G240="None",0,G240)+IF(H240="Yes",CharacterSheet!$V$34,0))))</f>
        <v>None</v>
      </c>
      <c r="J240" s="57" t="s">
        <v>361</v>
      </c>
      <c r="K240" s="66">
        <f>IF(J240="no",0,IF(OR(F240="None",F240="Cheval",F240="Legend",F240="Mystery",F240="Prophecy",F240="TsukumoGami"),0,IF(F240="Varies","V",IF(AND(G240=0,CharacterSheet!$R$36="No"),0,IF(AND(G240=0,CharacterSheet!$R$36="Yes"),LOOKUP(D240,Reference!$N$2:$N$10,Reference!$O$2:$O$10),IF(G240&gt;0,LOOKUP(D240,Reference!$N$2:$N$10,Reference!$P$2:$P$10),"ERROR"))))))</f>
        <v>0</v>
      </c>
      <c r="L240" s="66" t="s">
        <v>361</v>
      </c>
      <c r="M240" s="66">
        <f>IF(E240="V","V",IF(J240="Yes",K240,0)+IF(L240="Yes",CharacterSheet!D153,0))</f>
        <v>0</v>
      </c>
      <c r="N240" s="66" t="s">
        <v>1648</v>
      </c>
      <c r="O240" s="66" t="s">
        <v>508</v>
      </c>
      <c r="P240" s="66" t="s">
        <v>5</v>
      </c>
      <c r="Q240" s="188">
        <v>96</v>
      </c>
    </row>
    <row r="241" spans="1:17" x14ac:dyDescent="0.25">
      <c r="A241" s="86" t="s">
        <v>1443</v>
      </c>
      <c r="B241" s="39" t="s">
        <v>385</v>
      </c>
      <c r="C241" s="39">
        <v>10</v>
      </c>
      <c r="D241" s="66" t="s">
        <v>20</v>
      </c>
      <c r="E241" s="66">
        <f>LOOKUP(D241,Reference!$B$33:$B$46,Reference!$C$33:$C$46)</f>
        <v>1</v>
      </c>
      <c r="F241" s="66" t="s">
        <v>49</v>
      </c>
      <c r="G241" s="66">
        <f>LOOKUP(F241,Reference!$D$32:$D$55,Reference!$E$32:$E$55)</f>
        <v>0</v>
      </c>
      <c r="H241" s="66" t="s">
        <v>361</v>
      </c>
      <c r="I241" s="57">
        <f>IF(OR(E241="V",G241="V"),"V",IF(AND(E241="None",G241="None"),"None",(IF(E241="None",0,E241)+IF(G241="None",0,G241)+IF(H241="Yes",CharacterSheet!$V$34,0))))</f>
        <v>1</v>
      </c>
      <c r="J241" s="57" t="s">
        <v>360</v>
      </c>
      <c r="K241" s="66">
        <f>IF(J241="no",0,IF(OR(F241="None",F241="Cheval",F241="Legend",F241="Mystery",F241="Prophecy",F241="TsukumoGami"),0,IF(F241="Varies","V",IF(AND(G241=0,CharacterSheet!$R$36="No"),0,IF(AND(G241=0,CharacterSheet!$R$36="Yes"),LOOKUP(D241,Reference!$N$2:$N$10,Reference!$O$2:$O$10),IF(G241&gt;0,LOOKUP(D241,Reference!$N$2:$N$10,Reference!$P$2:$P$10),"ERROR"))))))</f>
        <v>0</v>
      </c>
      <c r="L241" s="66" t="s">
        <v>361</v>
      </c>
      <c r="M241" s="66">
        <f>IF(E241="V","V",IF(J241="Yes",K241,0)+IF(L241="Yes",CharacterSheet!D93,0))</f>
        <v>0</v>
      </c>
      <c r="N241" s="66" t="s">
        <v>1676</v>
      </c>
      <c r="O241" s="66" t="s">
        <v>1619</v>
      </c>
      <c r="P241" s="66" t="s">
        <v>1068</v>
      </c>
      <c r="Q241" s="188">
        <v>82</v>
      </c>
    </row>
    <row r="242" spans="1:17" x14ac:dyDescent="0.25">
      <c r="A242" s="86" t="s">
        <v>1284</v>
      </c>
      <c r="B242" s="39" t="s">
        <v>370</v>
      </c>
      <c r="C242" s="39">
        <v>10</v>
      </c>
      <c r="D242" s="66" t="s">
        <v>13</v>
      </c>
      <c r="E242" s="66">
        <f>LOOKUP(D242,Reference!$B$33:$B$46,Reference!$C$33:$C$46)</f>
        <v>1</v>
      </c>
      <c r="F242" s="66" t="s">
        <v>57</v>
      </c>
      <c r="G242" s="66">
        <f>LOOKUP(F242,Reference!$D$32:$D$55,Reference!$E$32:$E$55)</f>
        <v>0</v>
      </c>
      <c r="H242" s="66" t="s">
        <v>361</v>
      </c>
      <c r="I242" s="57">
        <f>IF(OR(E242="V",G242="V"),"V",IF(AND(E242="None",G242="None"),"None",(IF(E242="None",0,E242)+IF(G242="None",0,G242)+IF(H242="Yes",CharacterSheet!$V$34,0))))</f>
        <v>1</v>
      </c>
      <c r="J242" s="57" t="s">
        <v>360</v>
      </c>
      <c r="K242" s="66">
        <f>IF(J242="no",0,IF(OR(F242="None",F242="Cheval",F242="Legend",F242="Mystery",F242="Prophecy",F242="TsukumoGami"),0,IF(F242="Varies","V",IF(AND(G242=0,CharacterSheet!$R$36="No"),0,IF(AND(G242=0,CharacterSheet!$R$36="Yes"),LOOKUP(D242,Reference!$N$2:$N$10,Reference!$O$2:$O$10),IF(G242&gt;0,LOOKUP(D242,Reference!$N$2:$N$10,Reference!$P$2:$P$10),"ERROR"))))))</f>
        <v>0</v>
      </c>
      <c r="L242" s="66" t="s">
        <v>361</v>
      </c>
      <c r="M242" s="66">
        <f>IF(E242="V","V",IF(J242="Yes",K242,0)+IF(L242="Yes",CharacterSheet!D223,0))</f>
        <v>0</v>
      </c>
      <c r="N242" s="66" t="s">
        <v>1075</v>
      </c>
      <c r="O242" s="66" t="s">
        <v>1551</v>
      </c>
      <c r="P242" s="66" t="s">
        <v>5</v>
      </c>
      <c r="Q242" s="188">
        <v>87</v>
      </c>
    </row>
    <row r="243" spans="1:17" x14ac:dyDescent="0.25">
      <c r="A243" s="86" t="s">
        <v>1144</v>
      </c>
      <c r="B243" s="39" t="s">
        <v>174</v>
      </c>
      <c r="C243" s="39">
        <v>1</v>
      </c>
      <c r="D243" s="66" t="s">
        <v>508</v>
      </c>
      <c r="E243" s="66" t="str">
        <f>LOOKUP(D243,Reference!$B$33:$B$46,Reference!$C$33:$C$46)</f>
        <v>None</v>
      </c>
      <c r="F243" s="66" t="s">
        <v>508</v>
      </c>
      <c r="G243" s="66" t="str">
        <f>LOOKUP(F243,Reference!$D$32:$D$55,Reference!$E$32:$E$55)</f>
        <v>None</v>
      </c>
      <c r="H243" s="66" t="s">
        <v>361</v>
      </c>
      <c r="I243" s="57" t="str">
        <f>IF(OR(E243="V",G243="V"),"V",IF(AND(E243="None",G243="None"),"None",(IF(E243="None",0,E243)+IF(G243="None",0,G243)+IF(H243="Yes",CharacterSheet!$V$34,0))))</f>
        <v>None</v>
      </c>
      <c r="J243" s="57" t="s">
        <v>361</v>
      </c>
      <c r="K243" s="66">
        <f>IF(J243="no",0,IF(OR(F243="None",F243="Cheval",F243="Legend",F243="Mystery",F243="Prophecy",F243="TsukumoGami"),0,IF(F243="Varies","V",IF(AND(G243=0,CharacterSheet!$R$36="No"),0,IF(AND(G243=0,CharacterSheet!$R$36="Yes"),LOOKUP(D243,Reference!$N$2:$N$10,Reference!$O$2:$O$10),IF(G243&gt;0,LOOKUP(D243,Reference!$N$2:$N$10,Reference!$P$2:$P$10),"ERROR"))))))</f>
        <v>0</v>
      </c>
      <c r="L243" s="66" t="s">
        <v>361</v>
      </c>
      <c r="M243" s="66">
        <f>IF(E243="V","V",IF(J243="Yes",K243,0)+IF(L243="Yes",CharacterSheet!D320,0))</f>
        <v>0</v>
      </c>
      <c r="N243" s="66" t="s">
        <v>1560</v>
      </c>
      <c r="O243" s="66" t="s">
        <v>508</v>
      </c>
      <c r="P243" s="66" t="s">
        <v>141</v>
      </c>
      <c r="Q243" s="188">
        <v>152</v>
      </c>
    </row>
    <row r="244" spans="1:17" x14ac:dyDescent="0.25">
      <c r="A244" s="86" t="s">
        <v>1460</v>
      </c>
      <c r="B244" s="39" t="s">
        <v>180</v>
      </c>
      <c r="C244" s="39">
        <v>7</v>
      </c>
      <c r="D244" s="66" t="s">
        <v>19</v>
      </c>
      <c r="E244" s="66">
        <f>LOOKUP(D244,Reference!$B$33:$B$46,Reference!$C$33:$C$46)</f>
        <v>1</v>
      </c>
      <c r="F244" s="66" t="s">
        <v>41</v>
      </c>
      <c r="G244" s="66">
        <f>LOOKUP(F244,Reference!$D$32:$D$55,Reference!$E$32:$E$55)</f>
        <v>0</v>
      </c>
      <c r="H244" s="66" t="s">
        <v>361</v>
      </c>
      <c r="I244" s="57">
        <f>IF(OR(E244="V",G244="V"),"V",IF(AND(E244="None",G244="None"),"None",(IF(E244="None",0,E244)+IF(G244="None",0,G244)+IF(H244="Yes",CharacterSheet!$V$34,0))))</f>
        <v>1</v>
      </c>
      <c r="J244" s="57" t="s">
        <v>360</v>
      </c>
      <c r="K244" s="66">
        <f>IF(J244="no",0,IF(OR(F244="None",F244="Cheval",F244="Legend",F244="Mystery",F244="Prophecy",F244="TsukumoGami"),0,IF(F244="Varies","V",IF(AND(G244=0,CharacterSheet!$R$36="No"),0,IF(AND(G244=0,CharacterSheet!$R$36="Yes"),LOOKUP(D244,Reference!$N$2:$N$10,Reference!$O$2:$O$10),IF(G244&gt;0,LOOKUP(D244,Reference!$N$2:$N$10,Reference!$P$2:$P$10),"ERROR"))))))</f>
        <v>0</v>
      </c>
      <c r="L244" s="66" t="s">
        <v>361</v>
      </c>
      <c r="M244" s="66">
        <f>IF(E244="V","V",IF(J244="Yes",K244,0)+IF(L244="Yes",CharacterSheet!D123,0))</f>
        <v>0</v>
      </c>
      <c r="N244" s="66" t="s">
        <v>1075</v>
      </c>
      <c r="O244" s="66" t="s">
        <v>1548</v>
      </c>
      <c r="P244" s="66" t="s">
        <v>1068</v>
      </c>
      <c r="Q244" s="188">
        <v>174</v>
      </c>
    </row>
    <row r="245" spans="1:17" x14ac:dyDescent="0.25">
      <c r="A245" s="86" t="s">
        <v>1212</v>
      </c>
      <c r="B245" s="39" t="s">
        <v>376</v>
      </c>
      <c r="C245" s="39">
        <v>6</v>
      </c>
      <c r="D245" s="66" t="s">
        <v>508</v>
      </c>
      <c r="E245" s="66" t="str">
        <f>LOOKUP(D245,Reference!$B$33:$B$46,Reference!$C$33:$C$46)</f>
        <v>None</v>
      </c>
      <c r="F245" s="66" t="s">
        <v>508</v>
      </c>
      <c r="G245" s="66" t="str">
        <f>LOOKUP(F245,Reference!$D$32:$D$55,Reference!$E$32:$E$55)</f>
        <v>None</v>
      </c>
      <c r="H245" s="66" t="s">
        <v>361</v>
      </c>
      <c r="I245" s="57" t="str">
        <f>IF(OR(E245="V",G245="V"),"V",IF(AND(E245="None",G245="None"),"None",(IF(E245="None",0,E245)+IF(G245="None",0,G245)+IF(H245="Yes",CharacterSheet!$V$34,0))))</f>
        <v>None</v>
      </c>
      <c r="J245" s="57" t="s">
        <v>361</v>
      </c>
      <c r="K245" s="66">
        <f>IF(J245="no",0,IF(OR(F245="None",F245="Cheval",F245="Legend",F245="Mystery",F245="Prophecy",F245="TsukumoGami"),0,IF(F245="Varies","V",IF(AND(G245=0,CharacterSheet!$R$36="No"),0,IF(AND(G245=0,CharacterSheet!$R$36="Yes"),LOOKUP(D245,Reference!$N$2:$N$10,Reference!$O$2:$O$10),IF(G245&gt;0,LOOKUP(D245,Reference!$N$2:$N$10,Reference!$P$2:$P$10),"ERROR"))))))</f>
        <v>0</v>
      </c>
      <c r="L245" s="66" t="s">
        <v>361</v>
      </c>
      <c r="M245" s="66">
        <f>IF(E245="V","V",IF(J245="Yes",K245,0)+IF(L245="Yes",CharacterSheet!D124,0))</f>
        <v>0</v>
      </c>
      <c r="N245" s="66" t="s">
        <v>1626</v>
      </c>
      <c r="O245" s="66" t="s">
        <v>508</v>
      </c>
      <c r="P245" s="66" t="s">
        <v>1067</v>
      </c>
      <c r="Q245" s="188">
        <v>86</v>
      </c>
    </row>
    <row r="246" spans="1:17" x14ac:dyDescent="0.25">
      <c r="A246" s="86" t="s">
        <v>1398</v>
      </c>
      <c r="B246" s="39" t="s">
        <v>1366</v>
      </c>
      <c r="C246" s="39">
        <v>7</v>
      </c>
      <c r="D246" s="66" t="s">
        <v>21</v>
      </c>
      <c r="E246" s="66">
        <f>LOOKUP(D246,Reference!$B$33:$B$46,Reference!$C$33:$C$46)</f>
        <v>1</v>
      </c>
      <c r="F246" s="66" t="s">
        <v>46</v>
      </c>
      <c r="G246" s="66">
        <f>LOOKUP(F246,Reference!$D$32:$D$55,Reference!$E$32:$E$55)</f>
        <v>0</v>
      </c>
      <c r="H246" s="66" t="s">
        <v>361</v>
      </c>
      <c r="I246" s="57">
        <f>IF(OR(E246="V",G246="V"),"V",IF(AND(E246="None",G246="None"),"None",(IF(E246="None",0,E246)+IF(G246="None",0,G246)+IF(H246="Yes",CharacterSheet!$V$34,0))))</f>
        <v>1</v>
      </c>
      <c r="J246" s="57" t="s">
        <v>360</v>
      </c>
      <c r="K246" s="66">
        <f>IF(J246="no",0,IF(OR(F246="None",F246="Cheval",F246="Legend",F246="Mystery",F246="Prophecy",F246="TsukumoGami"),0,IF(F246="Varies","V",IF(AND(G246=0,CharacterSheet!$R$36="No"),0,IF(AND(G246=0,CharacterSheet!$R$36="Yes"),LOOKUP(D246,Reference!$N$2:$N$10,Reference!$O$2:$O$10),IF(G246&gt;0,LOOKUP(D246,Reference!$N$2:$N$10,Reference!$P$2:$P$10),"ERROR"))))))</f>
        <v>0</v>
      </c>
      <c r="L246" s="66" t="s">
        <v>361</v>
      </c>
      <c r="M246" s="66">
        <f>IF(E246="V","V",IF(J246="Yes",K246,0)+IF(L246="Yes",CharacterSheet!D108,0))</f>
        <v>0</v>
      </c>
      <c r="N246" s="66" t="s">
        <v>1077</v>
      </c>
      <c r="O246" s="66" t="s">
        <v>1613</v>
      </c>
      <c r="P246" s="66" t="s">
        <v>1068</v>
      </c>
      <c r="Q246" s="188">
        <v>69</v>
      </c>
    </row>
    <row r="247" spans="1:17" x14ac:dyDescent="0.25">
      <c r="A247" s="86" t="s">
        <v>1461</v>
      </c>
      <c r="B247" s="39" t="s">
        <v>180</v>
      </c>
      <c r="C247" s="39">
        <v>8</v>
      </c>
      <c r="D247" s="66" t="s">
        <v>17</v>
      </c>
      <c r="E247" s="66">
        <f>LOOKUP(D247,Reference!$B$33:$B$46,Reference!$C$33:$C$46)</f>
        <v>1</v>
      </c>
      <c r="F247" s="66" t="s">
        <v>51</v>
      </c>
      <c r="G247" s="66">
        <f>LOOKUP(F247,Reference!$D$32:$D$55,Reference!$E$32:$E$55)</f>
        <v>0</v>
      </c>
      <c r="H247" s="66" t="s">
        <v>361</v>
      </c>
      <c r="I247" s="57">
        <f>IF(OR(E247="V",G247="V"),"V",IF(AND(E247="None",G247="None"),"None",(IF(E247="None",0,E247)+IF(G247="None",0,G247)+IF(H247="Yes",CharacterSheet!$V$34,0))))</f>
        <v>1</v>
      </c>
      <c r="J247" s="57" t="s">
        <v>360</v>
      </c>
      <c r="K247" s="66">
        <f>IF(J247="no",0,IF(OR(F247="None",F247="Cheval",F247="Legend",F247="Mystery",F247="Prophecy",F247="TsukumoGami"),0,IF(F247="Varies","V",IF(AND(G247=0,CharacterSheet!$R$36="No"),0,IF(AND(G247=0,CharacterSheet!$R$36="Yes"),LOOKUP(D247,Reference!$N$2:$N$10,Reference!$O$2:$O$10),IF(G247&gt;0,LOOKUP(D247,Reference!$N$2:$N$10,Reference!$P$2:$P$10),"ERROR"))))))</f>
        <v>0</v>
      </c>
      <c r="L247" s="66" t="s">
        <v>361</v>
      </c>
      <c r="M247" s="66">
        <f>IF(E247="V","V",IF(J247="Yes",K247,0)+IF(L247="Yes",CharacterSheet!D331,0))</f>
        <v>0</v>
      </c>
      <c r="N247" s="66" t="s">
        <v>1652</v>
      </c>
      <c r="O247" s="66" t="s">
        <v>1576</v>
      </c>
      <c r="P247" s="66" t="s">
        <v>1068</v>
      </c>
      <c r="Q247" s="188">
        <v>174</v>
      </c>
    </row>
    <row r="248" spans="1:17" x14ac:dyDescent="0.25">
      <c r="A248" s="86" t="s">
        <v>1434</v>
      </c>
      <c r="B248" s="39" t="s">
        <v>385</v>
      </c>
      <c r="C248" s="39">
        <v>1</v>
      </c>
      <c r="D248" s="66" t="s">
        <v>19</v>
      </c>
      <c r="E248" s="66">
        <f>LOOKUP(D248,Reference!$B$33:$B$46,Reference!$C$33:$C$46)</f>
        <v>1</v>
      </c>
      <c r="F248" s="66" t="s">
        <v>41</v>
      </c>
      <c r="G248" s="66">
        <f>LOOKUP(F248,Reference!$D$32:$D$55,Reference!$E$32:$E$55)</f>
        <v>0</v>
      </c>
      <c r="H248" s="66" t="s">
        <v>361</v>
      </c>
      <c r="I248" s="57">
        <f>IF(OR(E248="V",G248="V"),"V",IF(AND(E248="None",G248="None"),"None",(IF(E248="None",0,E248)+IF(G248="None",0,G248)+IF(H248="Yes",CharacterSheet!$V$34,0))))</f>
        <v>1</v>
      </c>
      <c r="J248" s="57" t="s">
        <v>360</v>
      </c>
      <c r="K248" s="66">
        <f>IF(J248="no",0,IF(OR(F248="None",F248="Cheval",F248="Legend",F248="Mystery",F248="Prophecy",F248="TsukumoGami"),0,IF(F248="Varies","V",IF(AND(G248=0,CharacterSheet!$R$36="No"),0,IF(AND(G248=0,CharacterSheet!$R$36="Yes"),LOOKUP(D248,Reference!$N$2:$N$10,Reference!$O$2:$O$10),IF(G248&gt;0,LOOKUP(D248,Reference!$N$2:$N$10,Reference!$P$2:$P$10),"ERROR"))))))</f>
        <v>0</v>
      </c>
      <c r="L248" s="66" t="s">
        <v>361</v>
      </c>
      <c r="M248" s="66">
        <f>IF(E248="V","V",IF(J248="Yes",K248,0)+IF(L248="Yes",CharacterSheet!D428,0))</f>
        <v>0</v>
      </c>
      <c r="N248" s="66" t="s">
        <v>1072</v>
      </c>
      <c r="O248" s="66" t="s">
        <v>1548</v>
      </c>
      <c r="P248" s="66" t="s">
        <v>1068</v>
      </c>
      <c r="Q248" s="188">
        <v>80</v>
      </c>
    </row>
    <row r="249" spans="1:17" x14ac:dyDescent="0.25">
      <c r="A249" s="86" t="s">
        <v>1439</v>
      </c>
      <c r="B249" s="39" t="s">
        <v>385</v>
      </c>
      <c r="C249" s="39">
        <v>6</v>
      </c>
      <c r="D249" s="66" t="s">
        <v>17</v>
      </c>
      <c r="E249" s="66">
        <f>LOOKUP(D249,Reference!$B$33:$B$46,Reference!$C$33:$C$46)</f>
        <v>1</v>
      </c>
      <c r="F249" s="66" t="s">
        <v>40</v>
      </c>
      <c r="G249" s="66">
        <f>LOOKUP(F249,Reference!$D$32:$D$55,Reference!$E$32:$E$55)</f>
        <v>0</v>
      </c>
      <c r="H249" s="66" t="s">
        <v>361</v>
      </c>
      <c r="I249" s="57">
        <f>IF(OR(E249="V",G249="V"),"V",IF(AND(E249="None",G249="None"),"None",(IF(E249="None",0,E249)+IF(G249="None",0,G249)+IF(H249="Yes",CharacterSheet!$V$34,0))))</f>
        <v>1</v>
      </c>
      <c r="J249" s="57" t="s">
        <v>360</v>
      </c>
      <c r="K249" s="66">
        <f>IF(J249="no",0,IF(OR(F249="None",F249="Cheval",F249="Legend",F249="Mystery",F249="Prophecy",F249="TsukumoGami"),0,IF(F249="Varies","V",IF(AND(G249=0,CharacterSheet!$R$36="No"),0,IF(AND(G249=0,CharacterSheet!$R$36="Yes"),LOOKUP(D249,Reference!$N$2:$N$10,Reference!$O$2:$O$10),IF(G249&gt;0,LOOKUP(D249,Reference!$N$2:$N$10,Reference!$P$2:$P$10),"ERROR"))))))</f>
        <v>0</v>
      </c>
      <c r="L249" s="66" t="s">
        <v>361</v>
      </c>
      <c r="M249" s="66">
        <f>IF(E249="V","V",IF(J249="Yes",K249,0)+IF(L249="Yes",CharacterSheet!D295,0))</f>
        <v>0</v>
      </c>
      <c r="N249" s="66" t="s">
        <v>1631</v>
      </c>
      <c r="O249" s="66" t="s">
        <v>1686</v>
      </c>
      <c r="P249" s="66" t="s">
        <v>1068</v>
      </c>
      <c r="Q249" s="188">
        <v>81</v>
      </c>
    </row>
    <row r="250" spans="1:17" x14ac:dyDescent="0.25">
      <c r="A250" s="86" t="s">
        <v>1236</v>
      </c>
      <c r="B250" s="39" t="s">
        <v>185</v>
      </c>
      <c r="C250" s="39">
        <v>6</v>
      </c>
      <c r="D250" s="66" t="s">
        <v>20</v>
      </c>
      <c r="E250" s="66">
        <f>LOOKUP(D250,Reference!$B$33:$B$46,Reference!$C$33:$C$46)</f>
        <v>1</v>
      </c>
      <c r="F250" s="66" t="s">
        <v>56</v>
      </c>
      <c r="G250" s="66">
        <f>LOOKUP(F250,Reference!$D$32:$D$55,Reference!$E$32:$E$55)</f>
        <v>0</v>
      </c>
      <c r="H250" s="66" t="s">
        <v>361</v>
      </c>
      <c r="I250" s="57">
        <f>IF(OR(E250="V",G250="V"),"V",IF(AND(E250="None",G250="None"),"None",(IF(E250="None",0,E250)+IF(G250="None",0,G250)+IF(H250="Yes",CharacterSheet!$V$34,0))))</f>
        <v>1</v>
      </c>
      <c r="J250" s="57" t="s">
        <v>360</v>
      </c>
      <c r="K250" s="66">
        <f>IF(J250="no",0,IF(OR(F250="None",F250="Cheval",F250="Legend",F250="Mystery",F250="Prophecy",F250="TsukumoGami"),0,IF(F250="Varies","V",IF(AND(G250=0,CharacterSheet!$R$36="No"),0,IF(AND(G250=0,CharacterSheet!$R$36="Yes"),LOOKUP(D250,Reference!$N$2:$N$10,Reference!$O$2:$O$10),IF(G250&gt;0,LOOKUP(D250,Reference!$N$2:$N$10,Reference!$P$2:$P$10),"ERROR"))))))</f>
        <v>0</v>
      </c>
      <c r="L250" s="66" t="s">
        <v>361</v>
      </c>
      <c r="M250" s="66">
        <f>IF(E250="V","V",IF(J250="Yes",K250,0)+IF(L250="Yes",CharacterSheet!D373,0))</f>
        <v>0</v>
      </c>
      <c r="N250" s="66" t="s">
        <v>1630</v>
      </c>
      <c r="O250" s="66" t="s">
        <v>1569</v>
      </c>
      <c r="P250" s="66" t="s">
        <v>1067</v>
      </c>
      <c r="Q250" s="188">
        <v>91</v>
      </c>
    </row>
    <row r="251" spans="1:17" x14ac:dyDescent="0.25">
      <c r="A251" s="86" t="s">
        <v>1332</v>
      </c>
      <c r="B251" s="39" t="s">
        <v>185</v>
      </c>
      <c r="C251" s="39">
        <v>8</v>
      </c>
      <c r="D251" s="66" t="s">
        <v>16</v>
      </c>
      <c r="E251" s="66">
        <f>LOOKUP(D251,Reference!$B$33:$B$46,Reference!$C$33:$C$46)</f>
        <v>1</v>
      </c>
      <c r="F251" s="66" t="s">
        <v>40</v>
      </c>
      <c r="G251" s="66">
        <f>LOOKUP(F251,Reference!$D$32:$D$55,Reference!$E$32:$E$55)</f>
        <v>0</v>
      </c>
      <c r="H251" s="66" t="s">
        <v>361</v>
      </c>
      <c r="I251" s="57">
        <f>IF(OR(E251="V",G251="V"),"V",IF(AND(E251="None",G251="None"),"None",(IF(E251="None",0,E251)+IF(G251="None",0,G251)+IF(H251="Yes",CharacterSheet!$V$34,0))))</f>
        <v>1</v>
      </c>
      <c r="J251" s="57" t="s">
        <v>360</v>
      </c>
      <c r="K251" s="66">
        <f>IF(J251="no",0,IF(OR(F251="None",F251="Cheval",F251="Legend",F251="Mystery",F251="Prophecy",F251="TsukumoGami"),0,IF(F251="Varies","V",IF(AND(G251=0,CharacterSheet!$R$36="No"),0,IF(AND(G251=0,CharacterSheet!$R$36="Yes"),LOOKUP(D251,Reference!$N$2:$N$10,Reference!$O$2:$O$10),IF(G251&gt;0,LOOKUP(D251,Reference!$N$2:$N$10,Reference!$P$2:$P$10),"ERROR"))))))</f>
        <v>0</v>
      </c>
      <c r="L251" s="66" t="s">
        <v>361</v>
      </c>
      <c r="M251" s="66">
        <f>IF(E251="V","V",IF(J251="Yes",K251,0)+IF(L251="Yes",CharacterSheet!D83,0))</f>
        <v>0</v>
      </c>
      <c r="N251" s="66" t="s">
        <v>1075</v>
      </c>
      <c r="O251" s="66" t="s">
        <v>1549</v>
      </c>
      <c r="P251" s="66" t="s">
        <v>5</v>
      </c>
      <c r="Q251" s="188">
        <v>104</v>
      </c>
    </row>
    <row r="252" spans="1:17" x14ac:dyDescent="0.25">
      <c r="A252" s="86" t="s">
        <v>1234</v>
      </c>
      <c r="B252" s="39" t="s">
        <v>185</v>
      </c>
      <c r="C252" s="39">
        <v>4</v>
      </c>
      <c r="D252" s="66" t="s">
        <v>508</v>
      </c>
      <c r="E252" s="66" t="str">
        <f>LOOKUP(D252,Reference!$B$33:$B$46,Reference!$C$33:$C$46)</f>
        <v>None</v>
      </c>
      <c r="F252" s="66" t="s">
        <v>508</v>
      </c>
      <c r="G252" s="66" t="str">
        <f>LOOKUP(F252,Reference!$D$32:$D$55,Reference!$E$32:$E$55)</f>
        <v>None</v>
      </c>
      <c r="H252" s="66" t="s">
        <v>361</v>
      </c>
      <c r="I252" s="57" t="str">
        <f>IF(OR(E252="V",G252="V"),"V",IF(AND(E252="None",G252="None"),"None",(IF(E252="None",0,E252)+IF(G252="None",0,G252)+IF(H252="Yes",CharacterSheet!$V$34,0))))</f>
        <v>None</v>
      </c>
      <c r="J252" s="57" t="s">
        <v>361</v>
      </c>
      <c r="K252" s="66">
        <f>IF(J252="no",0,IF(OR(F252="None",F252="Cheval",F252="Legend",F252="Mystery",F252="Prophecy",F252="TsukumoGami"),0,IF(F252="Varies","V",IF(AND(G252=0,CharacterSheet!$R$36="No"),0,IF(AND(G252=0,CharacterSheet!$R$36="Yes"),LOOKUP(D252,Reference!$N$2:$N$10,Reference!$O$2:$O$10),IF(G252&gt;0,LOOKUP(D252,Reference!$N$2:$N$10,Reference!$P$2:$P$10),"ERROR"))))))</f>
        <v>0</v>
      </c>
      <c r="L252" s="66" t="s">
        <v>361</v>
      </c>
      <c r="M252" s="66">
        <f>IF(E252="V","V",IF(J252="Yes",K252,0)+IF(L252="Yes",CharacterSheet!D111,0))</f>
        <v>0</v>
      </c>
      <c r="N252" s="66" t="s">
        <v>1072</v>
      </c>
      <c r="O252" s="66" t="s">
        <v>508</v>
      </c>
      <c r="P252" s="66" t="s">
        <v>1067</v>
      </c>
      <c r="Q252" s="188">
        <v>91</v>
      </c>
    </row>
    <row r="253" spans="1:17" x14ac:dyDescent="0.25">
      <c r="A253" s="86" t="s">
        <v>1423</v>
      </c>
      <c r="B253" s="39" t="s">
        <v>375</v>
      </c>
      <c r="C253" s="39">
        <v>5</v>
      </c>
      <c r="D253" s="66" t="s">
        <v>17</v>
      </c>
      <c r="E253" s="66">
        <f>LOOKUP(D253,Reference!$B$33:$B$46,Reference!$C$33:$C$46)</f>
        <v>1</v>
      </c>
      <c r="F253" s="66" t="s">
        <v>41</v>
      </c>
      <c r="G253" s="66">
        <f>LOOKUP(F253,Reference!$D$32:$D$55,Reference!$E$32:$E$55)</f>
        <v>0</v>
      </c>
      <c r="H253" s="66" t="s">
        <v>361</v>
      </c>
      <c r="I253" s="57">
        <f>IF(OR(E253="V",G253="V"),"V",IF(AND(E253="None",G253="None"),"None",(IF(E253="None",0,E253)+IF(G253="None",0,G253)+IF(H253="Yes",CharacterSheet!$V$34,0))))</f>
        <v>1</v>
      </c>
      <c r="J253" s="57" t="s">
        <v>360</v>
      </c>
      <c r="K253" s="66">
        <f>IF(J253="no",0,IF(OR(F253="None",F253="Cheval",F253="Legend",F253="Mystery",F253="Prophecy",F253="TsukumoGami"),0,IF(F253="Varies","V",IF(AND(G253=0,CharacterSheet!$R$36="No"),0,IF(AND(G253=0,CharacterSheet!$R$36="Yes"),LOOKUP(D253,Reference!$N$2:$N$10,Reference!$O$2:$O$10),IF(G253&gt;0,LOOKUP(D253,Reference!$N$2:$N$10,Reference!$P$2:$P$10),"ERROR"))))))</f>
        <v>0</v>
      </c>
      <c r="L253" s="66" t="s">
        <v>361</v>
      </c>
      <c r="M253" s="66">
        <f>IF(E253="V","V",IF(J253="Yes",K253,0)+IF(L253="Yes",CharacterSheet!D418,0))</f>
        <v>0</v>
      </c>
      <c r="N253" s="66" t="s">
        <v>1634</v>
      </c>
      <c r="O253" s="66" t="s">
        <v>1622</v>
      </c>
      <c r="P253" s="66" t="s">
        <v>1068</v>
      </c>
      <c r="Q253" s="188">
        <v>76</v>
      </c>
    </row>
    <row r="254" spans="1:17" x14ac:dyDescent="0.25">
      <c r="A254" s="86" t="s">
        <v>1463</v>
      </c>
      <c r="B254" s="39" t="s">
        <v>180</v>
      </c>
      <c r="C254" s="39">
        <v>10</v>
      </c>
      <c r="D254" s="66" t="s">
        <v>20</v>
      </c>
      <c r="E254" s="66">
        <f>LOOKUP(D254,Reference!$B$33:$B$46,Reference!$C$33:$C$46)</f>
        <v>1</v>
      </c>
      <c r="F254" s="66" t="s">
        <v>38</v>
      </c>
      <c r="G254" s="66">
        <f>LOOKUP(F254,Reference!$D$32:$D$55,Reference!$E$32:$E$55)</f>
        <v>0</v>
      </c>
      <c r="H254" s="66" t="s">
        <v>360</v>
      </c>
      <c r="I254" s="57">
        <f>IF(OR(E254="V",G254="V"),"V",IF(AND(E254="None",G254="None"),"None",(IF(E254="None",0,E254)+IF(G254="None",0,G254)+IF(H254="Yes",CharacterSheet!$V$34,0))))</f>
        <v>3</v>
      </c>
      <c r="J254" s="57" t="s">
        <v>360</v>
      </c>
      <c r="K254" s="66">
        <f>IF(J254="no",0,IF(OR(F254="None",F254="Cheval",F254="Legend",F254="Mystery",F254="Prophecy",F254="TsukumoGami"),0,IF(F254="Varies","V",IF(AND(G254=0,CharacterSheet!$R$36="No"),0,IF(AND(G254=0,CharacterSheet!$R$36="Yes"),LOOKUP(D254,Reference!$N$2:$N$10,Reference!$O$2:$O$10),IF(G254&gt;0,LOOKUP(D254,Reference!$N$2:$N$10,Reference!$P$2:$P$10),"ERROR"))))))</f>
        <v>0</v>
      </c>
      <c r="L254" s="66" t="s">
        <v>361</v>
      </c>
      <c r="M254" s="66">
        <f>IF(E254="V","V",IF(J254="Yes",K254,0)+IF(L254="Yes",CharacterSheet!D220,0))</f>
        <v>0</v>
      </c>
      <c r="N254" s="66" t="s">
        <v>1724</v>
      </c>
      <c r="O254" s="66" t="s">
        <v>1544</v>
      </c>
      <c r="P254" s="66" t="s">
        <v>1068</v>
      </c>
      <c r="Q254" s="188">
        <v>175</v>
      </c>
    </row>
    <row r="255" spans="1:17" x14ac:dyDescent="0.25">
      <c r="A255" s="86" t="s">
        <v>1209</v>
      </c>
      <c r="B255" s="39" t="s">
        <v>375</v>
      </c>
      <c r="C255" s="39">
        <v>7</v>
      </c>
      <c r="D255" s="66" t="s">
        <v>30</v>
      </c>
      <c r="E255" s="66">
        <f>LOOKUP(D255,Reference!$B$33:$B$46,Reference!$C$33:$C$46)</f>
        <v>1</v>
      </c>
      <c r="F255" s="66" t="s">
        <v>56</v>
      </c>
      <c r="G255" s="66">
        <f>LOOKUP(F255,Reference!$D$32:$D$55,Reference!$E$32:$E$55)</f>
        <v>0</v>
      </c>
      <c r="H255" s="66" t="s">
        <v>361</v>
      </c>
      <c r="I255" s="57">
        <f>IF(OR(E255="V",G255="V"),"V",IF(AND(E255="None",G255="None"),"None",(IF(E255="None",0,E255)+IF(G255="None",0,G255)+IF(H255="Yes",CharacterSheet!$V$34,0))))</f>
        <v>1</v>
      </c>
      <c r="J255" s="57" t="s">
        <v>360</v>
      </c>
      <c r="K255" s="66">
        <f>IF(J255="no",0,IF(OR(F255="None",F255="Cheval",F255="Legend",F255="Mystery",F255="Prophecy",F255="TsukumoGami"),0,IF(F255="Varies","V",IF(AND(G255=0,CharacterSheet!$R$36="No"),0,IF(AND(G255=0,CharacterSheet!$R$36="Yes"),LOOKUP(D255,Reference!$N$2:$N$10,Reference!$O$2:$O$10),IF(G255&gt;0,LOOKUP(D255,Reference!$N$2:$N$10,Reference!$P$2:$P$10),"ERROR"))))))</f>
        <v>0</v>
      </c>
      <c r="L255" s="66" t="s">
        <v>361</v>
      </c>
      <c r="M255" s="66">
        <f>IF(E255="V","V",IF(J255="Yes",K255,0)+IF(L255="Yes",CharacterSheet!D413,0))</f>
        <v>0</v>
      </c>
      <c r="N255" s="66" t="s">
        <v>1584</v>
      </c>
      <c r="O255" s="66" t="s">
        <v>1611</v>
      </c>
      <c r="P255" s="66" t="s">
        <v>1067</v>
      </c>
      <c r="Q255" s="188">
        <v>84</v>
      </c>
    </row>
    <row r="256" spans="1:17" x14ac:dyDescent="0.25">
      <c r="A256" s="86" t="s">
        <v>1223</v>
      </c>
      <c r="B256" s="39" t="s">
        <v>380</v>
      </c>
      <c r="C256" s="39">
        <v>5</v>
      </c>
      <c r="D256" s="66" t="s">
        <v>17</v>
      </c>
      <c r="E256" s="66">
        <f>LOOKUP(D256,Reference!$B$33:$B$46,Reference!$C$33:$C$46)</f>
        <v>1</v>
      </c>
      <c r="F256" s="66" t="s">
        <v>51</v>
      </c>
      <c r="G256" s="66">
        <f>LOOKUP(F256,Reference!$D$32:$D$55,Reference!$E$32:$E$55)</f>
        <v>0</v>
      </c>
      <c r="H256" s="66" t="s">
        <v>361</v>
      </c>
      <c r="I256" s="57">
        <f>IF(OR(E256="V",G256="V"),"V",IF(AND(E256="None",G256="None"),"None",(IF(E256="None",0,E256)+IF(G256="None",0,G256)+IF(H256="Yes",CharacterSheet!$V$34,0))))</f>
        <v>1</v>
      </c>
      <c r="J256" s="57" t="s">
        <v>360</v>
      </c>
      <c r="K256" s="66">
        <f>IF(J256="no",0,IF(OR(F256="None",F256="Cheval",F256="Legend",F256="Mystery",F256="Prophecy",F256="TsukumoGami"),0,IF(F256="Varies","V",IF(AND(G256=0,CharacterSheet!$R$36="No"),0,IF(AND(G256=0,CharacterSheet!$R$36="Yes"),LOOKUP(D256,Reference!$N$2:$N$10,Reference!$O$2:$O$10),IF(G256&gt;0,LOOKUP(D256,Reference!$N$2:$N$10,Reference!$P$2:$P$10),"ERROR"))))))</f>
        <v>0</v>
      </c>
      <c r="L256" s="66" t="s">
        <v>361</v>
      </c>
      <c r="M256" s="66">
        <f>IF(E256="V","V",IF(J256="Yes",K256,0)+IF(L256="Yes",CharacterSheet!D298,0))</f>
        <v>0</v>
      </c>
      <c r="N256" s="66" t="s">
        <v>1590</v>
      </c>
      <c r="O256" s="66" t="s">
        <v>1576</v>
      </c>
      <c r="P256" s="66" t="s">
        <v>1067</v>
      </c>
      <c r="Q256" s="188">
        <v>88</v>
      </c>
    </row>
    <row r="257" spans="1:17" x14ac:dyDescent="0.25">
      <c r="A257" s="86" t="s">
        <v>1430</v>
      </c>
      <c r="B257" s="39" t="s">
        <v>380</v>
      </c>
      <c r="C257" s="39">
        <v>5</v>
      </c>
      <c r="D257" s="66" t="s">
        <v>508</v>
      </c>
      <c r="E257" s="66" t="str">
        <f>LOOKUP(D257,Reference!$B$33:$B$46,Reference!$C$33:$C$46)</f>
        <v>None</v>
      </c>
      <c r="F257" s="66" t="s">
        <v>508</v>
      </c>
      <c r="G257" s="66" t="str">
        <f>LOOKUP(F257,Reference!$D$32:$D$55,Reference!$E$32:$E$55)</f>
        <v>None</v>
      </c>
      <c r="H257" s="66" t="s">
        <v>361</v>
      </c>
      <c r="I257" s="57" t="str">
        <f>IF(OR(E257="V",G257="V"),"V",IF(AND(E257="None",G257="None"),"None",(IF(E257="None",0,E257)+IF(G257="None",0,G257)+IF(H257="Yes",CharacterSheet!$V$34,0))))</f>
        <v>None</v>
      </c>
      <c r="J257" s="57" t="s">
        <v>361</v>
      </c>
      <c r="K257" s="66">
        <f>IF(J257="no",0,IF(OR(F257="None",F257="Cheval",F257="Legend",F257="Mystery",F257="Prophecy",F257="TsukumoGami"),0,IF(F257="Varies","V",IF(AND(G257=0,CharacterSheet!$R$36="No"),0,IF(AND(G257=0,CharacterSheet!$R$36="Yes"),LOOKUP(D257,Reference!$N$2:$N$10,Reference!$O$2:$O$10),IF(G257&gt;0,LOOKUP(D257,Reference!$N$2:$N$10,Reference!$P$2:$P$10),"ERROR"))))))</f>
        <v>0</v>
      </c>
      <c r="L257" s="66" t="s">
        <v>361</v>
      </c>
      <c r="M257" s="66">
        <f>IF(E257="V","V",IF(J257="Yes",K257,0)+IF(L257="Yes",CharacterSheet!D360,0))</f>
        <v>0</v>
      </c>
      <c r="N257" s="66" t="s">
        <v>1626</v>
      </c>
      <c r="O257" s="66" t="s">
        <v>508</v>
      </c>
      <c r="P257" s="66" t="s">
        <v>1068</v>
      </c>
      <c r="Q257" s="188">
        <v>79</v>
      </c>
    </row>
    <row r="258" spans="1:17" x14ac:dyDescent="0.25">
      <c r="A258" s="86" t="s">
        <v>1179</v>
      </c>
      <c r="B258" s="39" t="s">
        <v>369</v>
      </c>
      <c r="C258" s="39">
        <v>5</v>
      </c>
      <c r="D258" s="66" t="s">
        <v>508</v>
      </c>
      <c r="E258" s="66" t="str">
        <f>LOOKUP(D258,Reference!$B$33:$B$46,Reference!$C$33:$C$46)</f>
        <v>None</v>
      </c>
      <c r="F258" s="66" t="s">
        <v>508</v>
      </c>
      <c r="G258" s="66" t="str">
        <f>LOOKUP(F258,Reference!$D$32:$D$55,Reference!$E$32:$E$55)</f>
        <v>None</v>
      </c>
      <c r="H258" s="66" t="s">
        <v>361</v>
      </c>
      <c r="I258" s="57" t="str">
        <f>IF(OR(E258="V",G258="V"),"V",IF(AND(E258="None",G258="None"),"None",(IF(E258="None",0,E258)+IF(G258="None",0,G258)+IF(H258="Yes",CharacterSheet!$V$34,0))))</f>
        <v>None</v>
      </c>
      <c r="J258" s="57" t="s">
        <v>361</v>
      </c>
      <c r="K258" s="66">
        <f>IF(J258="no",0,IF(OR(F258="None",F258="Cheval",F258="Legend",F258="Mystery",F258="Prophecy",F258="TsukumoGami"),0,IF(F258="Varies","V",IF(AND(G258=0,CharacterSheet!$R$36="No"),0,IF(AND(G258=0,CharacterSheet!$R$36="Yes"),LOOKUP(D258,Reference!$N$2:$N$10,Reference!$O$2:$O$10),IF(G258&gt;0,LOOKUP(D258,Reference!$N$2:$N$10,Reference!$P$2:$P$10),"ERROR"))))))</f>
        <v>0</v>
      </c>
      <c r="L258" s="66" t="s">
        <v>361</v>
      </c>
      <c r="M258" s="66">
        <f>IF(E258="V","V",IF(J258="Yes",K258,0)+IF(L258="Yes",CharacterSheet!D288,0))</f>
        <v>0</v>
      </c>
      <c r="N258" s="66" t="s">
        <v>1072</v>
      </c>
      <c r="O258" s="66" t="s">
        <v>508</v>
      </c>
      <c r="P258" s="66" t="s">
        <v>1067</v>
      </c>
      <c r="Q258" s="188">
        <v>74</v>
      </c>
    </row>
    <row r="259" spans="1:17" x14ac:dyDescent="0.25">
      <c r="A259" s="86" t="s">
        <v>1160</v>
      </c>
      <c r="B259" s="39" t="s">
        <v>383</v>
      </c>
      <c r="C259" s="39">
        <v>1</v>
      </c>
      <c r="D259" s="66" t="s">
        <v>20</v>
      </c>
      <c r="E259" s="66">
        <f>LOOKUP(D259,Reference!$B$33:$B$46,Reference!$C$33:$C$46)</f>
        <v>1</v>
      </c>
      <c r="F259" s="66" t="s">
        <v>383</v>
      </c>
      <c r="G259" s="66">
        <v>1</v>
      </c>
      <c r="H259" s="66" t="s">
        <v>361</v>
      </c>
      <c r="I259" s="57">
        <f>IF(OR(E259="V",G259="V"),"V",IF(AND(E259="None",G259="None"),"None",(IF(E259="None",0,E259)+IF(G259="None",0,G259)+IF(H259="Yes",CharacterSheet!$V$34,0))))</f>
        <v>2</v>
      </c>
      <c r="J259" s="57" t="s">
        <v>361</v>
      </c>
      <c r="K259" s="66">
        <f>IF(J259="no",0,IF(OR(F259="None",F259="Cheval",F259="Legend",F259="Mystery",F259="Prophecy",F259="TsukumoGami"),0,IF(F259="Varies","V",IF(AND(G259=0,CharacterSheet!$R$36="No"),0,IF(AND(G259=0,CharacterSheet!$R$36="Yes"),LOOKUP(D259,Reference!$N$2:$N$10,Reference!$O$2:$O$10),IF(G259&gt;0,LOOKUP(D259,Reference!$N$2:$N$10,Reference!$P$2:$P$10),"ERROR"))))))</f>
        <v>0</v>
      </c>
      <c r="L259" s="66" t="s">
        <v>361</v>
      </c>
      <c r="M259" s="66">
        <f>IF(E259="V","V",IF(J259="Yes",K259,0)+IF(L259="Yes",CharacterSheet!D431,0))</f>
        <v>0</v>
      </c>
      <c r="N259" s="66" t="s">
        <v>508</v>
      </c>
      <c r="O259" s="66" t="s">
        <v>1578</v>
      </c>
      <c r="P259" s="66" t="s">
        <v>141</v>
      </c>
      <c r="Q259" s="188">
        <v>155</v>
      </c>
    </row>
    <row r="260" spans="1:17" x14ac:dyDescent="0.25">
      <c r="A260" s="86" t="s">
        <v>1353</v>
      </c>
      <c r="B260" s="39" t="s">
        <v>383</v>
      </c>
      <c r="C260" s="39">
        <v>10</v>
      </c>
      <c r="D260" s="66" t="s">
        <v>20</v>
      </c>
      <c r="E260" s="66">
        <f>LOOKUP(D260,Reference!$B$33:$B$46,Reference!$C$33:$C$46)</f>
        <v>1</v>
      </c>
      <c r="F260" s="66" t="s">
        <v>383</v>
      </c>
      <c r="G260" s="66">
        <v>10</v>
      </c>
      <c r="H260" s="66" t="s">
        <v>361</v>
      </c>
      <c r="I260" s="57">
        <f>IF(OR(E260="V",G260="V"),"V",IF(AND(E260="None",G260="None"),"None",(IF(E260="None",0,E260)+IF(G260="None",0,G260)+IF(H260="Yes",CharacterSheet!$V$34,0))))</f>
        <v>11</v>
      </c>
      <c r="J260" s="57" t="s">
        <v>361</v>
      </c>
      <c r="K260" s="66">
        <f>IF(J260="no",0,IF(OR(F260="None",F260="Cheval",F260="Legend",F260="Mystery",F260="Prophecy",F260="TsukumoGami"),0,IF(F260="Varies","V",IF(AND(G260=0,CharacterSheet!$R$36="No"),0,IF(AND(G260=0,CharacterSheet!$R$36="Yes"),LOOKUP(D260,Reference!$N$2:$N$10,Reference!$O$2:$O$10),IF(G260&gt;0,LOOKUP(D260,Reference!$N$2:$N$10,Reference!$P$2:$P$10),"ERROR"))))))</f>
        <v>0</v>
      </c>
      <c r="L260" s="66" t="s">
        <v>361</v>
      </c>
      <c r="M260" s="66">
        <f>IF(E260="V","V",IF(J260="Yes",K260,0)+IF(L260="Yes",CharacterSheet!D407,0))</f>
        <v>0</v>
      </c>
      <c r="N260" s="66" t="s">
        <v>508</v>
      </c>
      <c r="O260" s="66" t="s">
        <v>1578</v>
      </c>
      <c r="P260" s="66" t="s">
        <v>5</v>
      </c>
      <c r="Q260" s="188">
        <v>111</v>
      </c>
    </row>
    <row r="261" spans="1:17" x14ac:dyDescent="0.25">
      <c r="A261" s="86" t="s">
        <v>1161</v>
      </c>
      <c r="B261" s="39" t="s">
        <v>383</v>
      </c>
      <c r="C261" s="39">
        <v>2</v>
      </c>
      <c r="D261" s="66" t="s">
        <v>20</v>
      </c>
      <c r="E261" s="66">
        <f>LOOKUP(D261,Reference!$B$33:$B$46,Reference!$C$33:$C$46)</f>
        <v>1</v>
      </c>
      <c r="F261" s="66" t="s">
        <v>383</v>
      </c>
      <c r="G261" s="66">
        <v>2</v>
      </c>
      <c r="H261" s="66" t="s">
        <v>361</v>
      </c>
      <c r="I261" s="57">
        <f>IF(OR(E261="V",G261="V"),"V",IF(AND(E261="None",G261="None"),"None",(IF(E261="None",0,E261)+IF(G261="None",0,G261)+IF(H261="Yes",CharacterSheet!$V$34,0))))</f>
        <v>3</v>
      </c>
      <c r="J261" s="57" t="s">
        <v>361</v>
      </c>
      <c r="K261" s="66">
        <f>IF(J261="no",0,IF(OR(F261="None",F261="Cheval",F261="Legend",F261="Mystery",F261="Prophecy",F261="TsukumoGami"),0,IF(F261="Varies","V",IF(AND(G261=0,CharacterSheet!$R$36="No"),0,IF(AND(G261=0,CharacterSheet!$R$36="Yes"),LOOKUP(D261,Reference!$N$2:$N$10,Reference!$O$2:$O$10),IF(G261&gt;0,LOOKUP(D261,Reference!$N$2:$N$10,Reference!$P$2:$P$10),"ERROR"))))))</f>
        <v>0</v>
      </c>
      <c r="L261" s="66" t="s">
        <v>361</v>
      </c>
      <c r="M261" s="66">
        <f>IF(E261="V","V",IF(J261="Yes",K261,0)+IF(L261="Yes",CharacterSheet!D432,0))</f>
        <v>0</v>
      </c>
      <c r="N261" s="66" t="s">
        <v>508</v>
      </c>
      <c r="O261" s="66" t="s">
        <v>1578</v>
      </c>
      <c r="P261" s="66" t="s">
        <v>141</v>
      </c>
      <c r="Q261" s="188">
        <v>155</v>
      </c>
    </row>
    <row r="262" spans="1:17" x14ac:dyDescent="0.25">
      <c r="A262" s="86" t="s">
        <v>1162</v>
      </c>
      <c r="B262" s="39" t="s">
        <v>383</v>
      </c>
      <c r="C262" s="39">
        <v>3</v>
      </c>
      <c r="D262" s="66" t="s">
        <v>20</v>
      </c>
      <c r="E262" s="66">
        <f>LOOKUP(D262,Reference!$B$33:$B$46,Reference!$C$33:$C$46)</f>
        <v>1</v>
      </c>
      <c r="F262" s="66" t="s">
        <v>383</v>
      </c>
      <c r="G262" s="66">
        <v>3</v>
      </c>
      <c r="H262" s="66" t="s">
        <v>361</v>
      </c>
      <c r="I262" s="57">
        <f>IF(OR(E262="V",G262="V"),"V",IF(AND(E262="None",G262="None"),"None",(IF(E262="None",0,E262)+IF(G262="None",0,G262)+IF(H262="Yes",CharacterSheet!$V$34,0))))</f>
        <v>4</v>
      </c>
      <c r="J262" s="57" t="s">
        <v>361</v>
      </c>
      <c r="K262" s="66">
        <f>IF(J262="no",0,IF(OR(F262="None",F262="Cheval",F262="Legend",F262="Mystery",F262="Prophecy",F262="TsukumoGami"),0,IF(F262="Varies","V",IF(AND(G262=0,CharacterSheet!$R$36="No"),0,IF(AND(G262=0,CharacterSheet!$R$36="Yes"),LOOKUP(D262,Reference!$N$2:$N$10,Reference!$O$2:$O$10),IF(G262&gt;0,LOOKUP(D262,Reference!$N$2:$N$10,Reference!$P$2:$P$10),"ERROR"))))))</f>
        <v>0</v>
      </c>
      <c r="L262" s="66" t="s">
        <v>361</v>
      </c>
      <c r="M262" s="66">
        <f>IF(E262="V","V",IF(J262="Yes",K262,0)+IF(L262="Yes",CharacterSheet!D369,0))</f>
        <v>0</v>
      </c>
      <c r="N262" s="66" t="s">
        <v>508</v>
      </c>
      <c r="O262" s="66" t="s">
        <v>1578</v>
      </c>
      <c r="P262" s="66" t="s">
        <v>141</v>
      </c>
      <c r="Q262" s="188">
        <v>155</v>
      </c>
    </row>
    <row r="263" spans="1:17" x14ac:dyDescent="0.25">
      <c r="A263" s="86" t="s">
        <v>1258</v>
      </c>
      <c r="B263" s="39" t="s">
        <v>383</v>
      </c>
      <c r="C263" s="39">
        <v>4</v>
      </c>
      <c r="D263" s="66" t="s">
        <v>20</v>
      </c>
      <c r="E263" s="66">
        <f>LOOKUP(D263,Reference!$B$33:$B$46,Reference!$C$33:$C$46)</f>
        <v>1</v>
      </c>
      <c r="F263" s="66" t="s">
        <v>383</v>
      </c>
      <c r="G263" s="66">
        <v>4</v>
      </c>
      <c r="H263" s="66" t="s">
        <v>361</v>
      </c>
      <c r="I263" s="57">
        <f>IF(OR(E263="V",G263="V"),"V",IF(AND(E263="None",G263="None"),"None",(IF(E263="None",0,E263)+IF(G263="None",0,G263)+IF(H263="Yes",CharacterSheet!$V$34,0))))</f>
        <v>5</v>
      </c>
      <c r="J263" s="57" t="s">
        <v>361</v>
      </c>
      <c r="K263" s="66">
        <f>IF(J263="no",0,IF(OR(F263="None",F263="Cheval",F263="Legend",F263="Mystery",F263="Prophecy",F263="TsukumoGami"),0,IF(F263="Varies","V",IF(AND(G263=0,CharacterSheet!$R$36="No"),0,IF(AND(G263=0,CharacterSheet!$R$36="Yes"),LOOKUP(D263,Reference!$N$2:$N$10,Reference!$O$2:$O$10),IF(G263&gt;0,LOOKUP(D263,Reference!$N$2:$N$10,Reference!$P$2:$P$10),"ERROR"))))))</f>
        <v>0</v>
      </c>
      <c r="L263" s="66" t="s">
        <v>361</v>
      </c>
      <c r="M263" s="66">
        <f>IF(E263="V","V",IF(J263="Yes",K263,0)+IF(L263="Yes",CharacterSheet!D336,0))</f>
        <v>0</v>
      </c>
      <c r="N263" s="66" t="s">
        <v>508</v>
      </c>
      <c r="O263" s="66" t="s">
        <v>1578</v>
      </c>
      <c r="P263" s="66" t="s">
        <v>1067</v>
      </c>
      <c r="Q263" s="188">
        <v>99</v>
      </c>
    </row>
    <row r="264" spans="1:17" x14ac:dyDescent="0.25">
      <c r="A264" s="86" t="s">
        <v>1259</v>
      </c>
      <c r="B264" s="39" t="s">
        <v>383</v>
      </c>
      <c r="C264" s="39">
        <v>5</v>
      </c>
      <c r="D264" s="66" t="s">
        <v>20</v>
      </c>
      <c r="E264" s="66">
        <f>LOOKUP(D264,Reference!$B$33:$B$46,Reference!$C$33:$C$46)</f>
        <v>1</v>
      </c>
      <c r="F264" s="66" t="s">
        <v>383</v>
      </c>
      <c r="G264" s="66">
        <v>5</v>
      </c>
      <c r="H264" s="66" t="s">
        <v>361</v>
      </c>
      <c r="I264" s="57">
        <f>IF(OR(E264="V",G264="V"),"V",IF(AND(E264="None",G264="None"),"None",(IF(E264="None",0,E264)+IF(G264="None",0,G264)+IF(H264="Yes",CharacterSheet!$V$34,0))))</f>
        <v>6</v>
      </c>
      <c r="J264" s="57" t="s">
        <v>361</v>
      </c>
      <c r="K264" s="66">
        <f>IF(J264="no",0,IF(OR(F264="None",F264="Cheval",F264="Legend",F264="Mystery",F264="Prophecy",F264="TsukumoGami"),0,IF(F264="Varies","V",IF(AND(G264=0,CharacterSheet!$R$36="No"),0,IF(AND(G264=0,CharacterSheet!$R$36="Yes"),LOOKUP(D264,Reference!$N$2:$N$10,Reference!$O$2:$O$10),IF(G264&gt;0,LOOKUP(D264,Reference!$N$2:$N$10,Reference!$P$2:$P$10),"ERROR"))))))</f>
        <v>0</v>
      </c>
      <c r="L264" s="66" t="s">
        <v>361</v>
      </c>
      <c r="M264" s="66">
        <f>IF(E264="V","V",IF(J264="Yes",K264,0)+IF(L264="Yes",CharacterSheet!D301,0))</f>
        <v>0</v>
      </c>
      <c r="N264" s="66" t="s">
        <v>508</v>
      </c>
      <c r="O264" s="66" t="s">
        <v>1578</v>
      </c>
      <c r="P264" s="66" t="s">
        <v>1067</v>
      </c>
      <c r="Q264" s="188">
        <v>99</v>
      </c>
    </row>
    <row r="265" spans="1:17" x14ac:dyDescent="0.25">
      <c r="A265" s="86" t="s">
        <v>1260</v>
      </c>
      <c r="B265" s="39" t="s">
        <v>383</v>
      </c>
      <c r="C265" s="39">
        <v>6</v>
      </c>
      <c r="D265" s="66" t="s">
        <v>20</v>
      </c>
      <c r="E265" s="66">
        <f>LOOKUP(D265,Reference!$B$33:$B$46,Reference!$C$33:$C$46)</f>
        <v>1</v>
      </c>
      <c r="F265" s="66" t="s">
        <v>383</v>
      </c>
      <c r="G265" s="66">
        <v>6</v>
      </c>
      <c r="H265" s="66" t="s">
        <v>361</v>
      </c>
      <c r="I265" s="57">
        <f>IF(OR(E265="V",G265="V"),"V",IF(AND(E265="None",G265="None"),"None",(IF(E265="None",0,E265)+IF(G265="None",0,G265)+IF(H265="Yes",CharacterSheet!$V$34,0))))</f>
        <v>7</v>
      </c>
      <c r="J265" s="57" t="s">
        <v>361</v>
      </c>
      <c r="K265" s="66">
        <f>IF(J265="no",0,IF(OR(F265="None",F265="Cheval",F265="Legend",F265="Mystery",F265="Prophecy",F265="TsukumoGami"),0,IF(F265="Varies","V",IF(AND(G265=0,CharacterSheet!$R$36="No"),0,IF(AND(G265=0,CharacterSheet!$R$36="Yes"),LOOKUP(D265,Reference!$N$2:$N$10,Reference!$O$2:$O$10),IF(G265&gt;0,LOOKUP(D265,Reference!$N$2:$N$10,Reference!$P$2:$P$10),"ERROR"))))))</f>
        <v>0</v>
      </c>
      <c r="L265" s="66" t="s">
        <v>361</v>
      </c>
      <c r="M265" s="66">
        <f>IF(E265="V","V",IF(J265="Yes",K265,0)+IF(L265="Yes",CharacterSheet!D384,0))</f>
        <v>0</v>
      </c>
      <c r="N265" s="66" t="s">
        <v>508</v>
      </c>
      <c r="O265" s="66" t="s">
        <v>1578</v>
      </c>
      <c r="P265" s="66" t="s">
        <v>1067</v>
      </c>
      <c r="Q265" s="188">
        <v>99</v>
      </c>
    </row>
    <row r="266" spans="1:17" x14ac:dyDescent="0.25">
      <c r="A266" s="86" t="s">
        <v>1261</v>
      </c>
      <c r="B266" s="39" t="s">
        <v>383</v>
      </c>
      <c r="C266" s="39">
        <v>7</v>
      </c>
      <c r="D266" s="66" t="s">
        <v>20</v>
      </c>
      <c r="E266" s="66">
        <f>LOOKUP(D266,Reference!$B$33:$B$46,Reference!$C$33:$C$46)</f>
        <v>1</v>
      </c>
      <c r="F266" s="66" t="s">
        <v>383</v>
      </c>
      <c r="G266" s="66">
        <v>7</v>
      </c>
      <c r="H266" s="66" t="s">
        <v>361</v>
      </c>
      <c r="I266" s="57">
        <f>IF(OR(E266="V",G266="V"),"V",IF(AND(E266="None",G266="None"),"None",(IF(E266="None",0,E266)+IF(G266="None",0,G266)+IF(H266="Yes",CharacterSheet!$V$34,0))))</f>
        <v>8</v>
      </c>
      <c r="J266" s="57" t="s">
        <v>361</v>
      </c>
      <c r="K266" s="66">
        <f>IF(J266="no",0,IF(OR(F266="None",F266="Cheval",F266="Legend",F266="Mystery",F266="Prophecy",F266="TsukumoGami"),0,IF(F266="Varies","V",IF(AND(G266=0,CharacterSheet!$R$36="No"),0,IF(AND(G266=0,CharacterSheet!$R$36="Yes"),LOOKUP(D266,Reference!$N$2:$N$10,Reference!$O$2:$O$10),IF(G266&gt;0,LOOKUP(D266,Reference!$N$2:$N$10,Reference!$P$2:$P$10),"ERROR"))))))</f>
        <v>0</v>
      </c>
      <c r="L266" s="66" t="s">
        <v>361</v>
      </c>
      <c r="M266" s="66">
        <f>IF(E266="V","V",IF(J266="Yes",K266,0)+IF(L266="Yes",CharacterSheet!D374,0))</f>
        <v>0</v>
      </c>
      <c r="N266" s="66" t="s">
        <v>508</v>
      </c>
      <c r="O266" s="66" t="s">
        <v>1578</v>
      </c>
      <c r="P266" s="66" t="s">
        <v>1067</v>
      </c>
      <c r="Q266" s="188">
        <v>99</v>
      </c>
    </row>
    <row r="267" spans="1:17" x14ac:dyDescent="0.25">
      <c r="A267" s="86" t="s">
        <v>1351</v>
      </c>
      <c r="B267" s="39" t="s">
        <v>383</v>
      </c>
      <c r="C267" s="39">
        <v>8</v>
      </c>
      <c r="D267" s="66" t="s">
        <v>20</v>
      </c>
      <c r="E267" s="66">
        <f>LOOKUP(D267,Reference!$B$33:$B$46,Reference!$C$33:$C$46)</f>
        <v>1</v>
      </c>
      <c r="F267" s="66" t="s">
        <v>383</v>
      </c>
      <c r="G267" s="66">
        <v>8</v>
      </c>
      <c r="H267" s="66" t="s">
        <v>361</v>
      </c>
      <c r="I267" s="57">
        <f>IF(OR(E267="V",G267="V"),"V",IF(AND(E267="None",G267="None"),"None",(IF(E267="None",0,E267)+IF(G267="None",0,G267)+IF(H267="Yes",CharacterSheet!$V$34,0))))</f>
        <v>9</v>
      </c>
      <c r="J267" s="57" t="s">
        <v>361</v>
      </c>
      <c r="K267" s="66">
        <f>IF(J267="no",0,IF(OR(F267="None",F267="Cheval",F267="Legend",F267="Mystery",F267="Prophecy",F267="TsukumoGami"),0,IF(F267="Varies","V",IF(AND(G267=0,CharacterSheet!$R$36="No"),0,IF(AND(G267=0,CharacterSheet!$R$36="Yes"),LOOKUP(D267,Reference!$N$2:$N$10,Reference!$O$2:$O$10),IF(G267&gt;0,LOOKUP(D267,Reference!$N$2:$N$10,Reference!$P$2:$P$10),"ERROR"))))))</f>
        <v>0</v>
      </c>
      <c r="L267" s="66" t="s">
        <v>361</v>
      </c>
      <c r="M267" s="66">
        <f>IF(E267="V","V",IF(J267="Yes",K267,0)+IF(L267="Yes",CharacterSheet!D89,0))</f>
        <v>0</v>
      </c>
      <c r="N267" s="66" t="s">
        <v>508</v>
      </c>
      <c r="O267" s="66" t="s">
        <v>1578</v>
      </c>
      <c r="P267" s="66" t="s">
        <v>5</v>
      </c>
      <c r="Q267" s="188">
        <v>111</v>
      </c>
    </row>
    <row r="268" spans="1:17" x14ac:dyDescent="0.25">
      <c r="A268" s="86" t="s">
        <v>1352</v>
      </c>
      <c r="B268" s="39" t="s">
        <v>383</v>
      </c>
      <c r="C268" s="39">
        <v>9</v>
      </c>
      <c r="D268" s="66" t="s">
        <v>20</v>
      </c>
      <c r="E268" s="66">
        <f>LOOKUP(D268,Reference!$B$33:$B$46,Reference!$C$33:$C$46)</f>
        <v>1</v>
      </c>
      <c r="F268" s="66" t="s">
        <v>383</v>
      </c>
      <c r="G268" s="66">
        <v>9</v>
      </c>
      <c r="H268" s="66" t="s">
        <v>361</v>
      </c>
      <c r="I268" s="57">
        <f>IF(OR(E268="V",G268="V"),"V",IF(AND(E268="None",G268="None"),"None",(IF(E268="None",0,E268)+IF(G268="None",0,G268)+IF(H268="Yes",CharacterSheet!$V$34,0))))</f>
        <v>10</v>
      </c>
      <c r="J268" s="57" t="s">
        <v>361</v>
      </c>
      <c r="K268" s="66">
        <f>IF(J268="no",0,IF(OR(F268="None",F268="Cheval",F268="Legend",F268="Mystery",F268="Prophecy",F268="TsukumoGami"),0,IF(F268="Varies","V",IF(AND(G268=0,CharacterSheet!$R$36="No"),0,IF(AND(G268=0,CharacterSheet!$R$36="Yes"),LOOKUP(D268,Reference!$N$2:$N$10,Reference!$O$2:$O$10),IF(G268&gt;0,LOOKUP(D268,Reference!$N$2:$N$10,Reference!$P$2:$P$10),"ERROR"))))))</f>
        <v>0</v>
      </c>
      <c r="L268" s="66" t="s">
        <v>361</v>
      </c>
      <c r="M268" s="66">
        <f>IF(E268="V","V",IF(J268="Yes",K268,0)+IF(L268="Yes",CharacterSheet!D414,0))</f>
        <v>0</v>
      </c>
      <c r="N268" s="66" t="s">
        <v>508</v>
      </c>
      <c r="O268" s="66" t="s">
        <v>1578</v>
      </c>
      <c r="P268" s="66" t="s">
        <v>5</v>
      </c>
      <c r="Q268" s="188">
        <v>111</v>
      </c>
    </row>
    <row r="269" spans="1:17" x14ac:dyDescent="0.25">
      <c r="A269" s="86" t="s">
        <v>1186</v>
      </c>
      <c r="B269" s="39" t="s">
        <v>371</v>
      </c>
      <c r="C269" s="39">
        <v>4</v>
      </c>
      <c r="D269" s="66" t="s">
        <v>13</v>
      </c>
      <c r="E269" s="66">
        <f>LOOKUP(D269,Reference!$B$33:$B$46,Reference!$C$33:$C$46)</f>
        <v>1</v>
      </c>
      <c r="F269" s="66" t="s">
        <v>52</v>
      </c>
      <c r="G269" s="66">
        <f>LOOKUP(F269,Reference!$D$32:$D$55,Reference!$E$32:$E$55)</f>
        <v>0</v>
      </c>
      <c r="H269" s="66" t="s">
        <v>361</v>
      </c>
      <c r="I269" s="57">
        <f>IF(OR(E269="V",G269="V"),"V",IF(AND(E269="None",G269="None"),"None",(IF(E269="None",0,E269)+IF(G269="None",0,G269)+IF(H269="Yes",CharacterSheet!$V$34,0))))</f>
        <v>1</v>
      </c>
      <c r="J269" s="57" t="s">
        <v>360</v>
      </c>
      <c r="K269" s="66">
        <f>IF(J269="no",0,IF(OR(F269="None",F269="Cheval",F269="Legend",F269="Mystery",F269="Prophecy",F269="TsukumoGami"),0,IF(F269="Varies","V",IF(AND(G269=0,CharacterSheet!$R$36="No"),0,IF(AND(G269=0,CharacterSheet!$R$36="Yes"),LOOKUP(D269,Reference!$N$2:$N$10,Reference!$O$2:$O$10),IF(G269&gt;0,LOOKUP(D269,Reference!$N$2:$N$10,Reference!$P$2:$P$10),"ERROR"))))))</f>
        <v>0</v>
      </c>
      <c r="L269" s="66" t="s">
        <v>361</v>
      </c>
      <c r="M269" s="66">
        <f>IF(E269="V","V",IF(J269="Yes",K269,0)+IF(L269="Yes",CharacterSheet!D325,0))</f>
        <v>0</v>
      </c>
      <c r="N269" s="66" t="s">
        <v>1072</v>
      </c>
      <c r="O269" s="66" t="s">
        <v>1547</v>
      </c>
      <c r="P269" s="66" t="s">
        <v>1067</v>
      </c>
      <c r="Q269" s="188">
        <v>76</v>
      </c>
    </row>
    <row r="270" spans="1:17" x14ac:dyDescent="0.25">
      <c r="A270" s="86" t="s">
        <v>1093</v>
      </c>
      <c r="B270" s="39" t="s">
        <v>368</v>
      </c>
      <c r="C270" s="39">
        <v>1</v>
      </c>
      <c r="D270" s="66" t="s">
        <v>508</v>
      </c>
      <c r="E270" s="66" t="str">
        <f>LOOKUP(D270,Reference!$B$33:$B$46,Reference!$C$33:$C$46)</f>
        <v>None</v>
      </c>
      <c r="F270" s="66" t="s">
        <v>508</v>
      </c>
      <c r="G270" s="66" t="str">
        <f>LOOKUP(F270,Reference!$D$32:$D$55,Reference!$E$32:$E$55)</f>
        <v>None</v>
      </c>
      <c r="H270" s="66" t="s">
        <v>361</v>
      </c>
      <c r="I270" s="57" t="str">
        <f>IF(OR(E270="V",G270="V"),"V",IF(AND(E270="None",G270="None"),"None",(IF(E270="None",0,E270)+IF(G270="None",0,G270)+IF(H270="Yes",CharacterSheet!$V$34,0))))</f>
        <v>None</v>
      </c>
      <c r="J270" s="57" t="s">
        <v>361</v>
      </c>
      <c r="K270" s="66">
        <f>IF(J270="no",0,IF(OR(F270="None",F270="Cheval",F270="Legend",F270="Mystery",F270="Prophecy",F270="TsukumoGami"),0,IF(F270="Varies","V",IF(AND(G270=0,CharacterSheet!$R$36="No"),0,IF(AND(G270=0,CharacterSheet!$R$36="Yes"),LOOKUP(D270,Reference!$N$2:$N$10,Reference!$O$2:$O$10),IF(G270&gt;0,LOOKUP(D270,Reference!$N$2:$N$10,Reference!$P$2:$P$10),"ERROR"))))))</f>
        <v>0</v>
      </c>
      <c r="L270" s="66" t="s">
        <v>361</v>
      </c>
      <c r="M270" s="66">
        <f>IF(E270="V","V",IF(J270="Yes",K270,0)+IF(L270="Yes",CharacterSheet!D247,0))</f>
        <v>0</v>
      </c>
      <c r="N270" s="66" t="s">
        <v>1799</v>
      </c>
      <c r="O270" s="66" t="s">
        <v>1799</v>
      </c>
      <c r="P270" s="66" t="s">
        <v>141</v>
      </c>
      <c r="Q270" s="188">
        <v>140</v>
      </c>
    </row>
    <row r="271" spans="1:17" x14ac:dyDescent="0.25">
      <c r="A271" s="86" t="s">
        <v>1242</v>
      </c>
      <c r="B271" s="39" t="s">
        <v>174</v>
      </c>
      <c r="C271" s="39">
        <v>4</v>
      </c>
      <c r="D271" s="66" t="s">
        <v>508</v>
      </c>
      <c r="E271" s="66" t="str">
        <f>LOOKUP(D271,Reference!$B$33:$B$46,Reference!$C$33:$C$46)</f>
        <v>None</v>
      </c>
      <c r="F271" s="66" t="s">
        <v>508</v>
      </c>
      <c r="G271" s="66" t="str">
        <f>LOOKUP(F271,Reference!$D$32:$D$55,Reference!$E$32:$E$55)</f>
        <v>None</v>
      </c>
      <c r="H271" s="66" t="s">
        <v>361</v>
      </c>
      <c r="I271" s="57" t="str">
        <f>IF(OR(E271="V",G271="V"),"V",IF(AND(E271="None",G271="None"),"None",(IF(E271="None",0,E271)+IF(G271="None",0,G271)+IF(H271="Yes",CharacterSheet!$V$34,0))))</f>
        <v>None</v>
      </c>
      <c r="J271" s="57" t="s">
        <v>361</v>
      </c>
      <c r="K271" s="66">
        <f>IF(J271="no",0,IF(OR(F271="None",F271="Cheval",F271="Legend",F271="Mystery",F271="Prophecy",F271="TsukumoGami"),0,IF(F271="Varies","V",IF(AND(G271=0,CharacterSheet!$R$36="No"),0,IF(AND(G271=0,CharacterSheet!$R$36="Yes"),LOOKUP(D271,Reference!$N$2:$N$10,Reference!$O$2:$O$10),IF(G271&gt;0,LOOKUP(D271,Reference!$N$2:$N$10,Reference!$P$2:$P$10),"ERROR"))))))</f>
        <v>0</v>
      </c>
      <c r="L271" s="66" t="s">
        <v>361</v>
      </c>
      <c r="M271" s="66">
        <f>IF(E271="V","V",IF(J271="Yes",K271,0)+IF(L271="Yes",CharacterSheet!D137,0))</f>
        <v>0</v>
      </c>
      <c r="N271" s="66" t="s">
        <v>1561</v>
      </c>
      <c r="O271" s="66" t="s">
        <v>508</v>
      </c>
      <c r="P271" s="66" t="s">
        <v>1067</v>
      </c>
      <c r="Q271" s="188">
        <v>94</v>
      </c>
    </row>
    <row r="272" spans="1:17" x14ac:dyDescent="0.25">
      <c r="A272" s="86" t="s">
        <v>1146</v>
      </c>
      <c r="B272" s="39" t="s">
        <v>174</v>
      </c>
      <c r="C272" s="39">
        <v>3</v>
      </c>
      <c r="D272" s="66" t="s">
        <v>175</v>
      </c>
      <c r="E272" s="66">
        <f>LOOKUP(D272,Reference!$B$33:$B$46,Reference!$C$33:$C$46)</f>
        <v>0</v>
      </c>
      <c r="F272" s="66" t="s">
        <v>508</v>
      </c>
      <c r="G272" s="66" t="str">
        <f>LOOKUP(F272,Reference!$D$32:$D$55,Reference!$E$32:$E$55)</f>
        <v>None</v>
      </c>
      <c r="H272" s="66" t="s">
        <v>361</v>
      </c>
      <c r="I272" s="57">
        <f>IF(OR(E272="V",G272="V"),"V",IF(AND(E272="None",G272="None"),"None",(IF(E272="None",0,E272)+IF(G272="None",0,G272)+IF(H272="Yes",CharacterSheet!$V$34,0))))</f>
        <v>0</v>
      </c>
      <c r="J272" s="57" t="s">
        <v>361</v>
      </c>
      <c r="K272" s="66">
        <f>IF(J272="no",0,IF(OR(F272="None",F272="Cheval",F272="Legend",F272="Mystery",F272="Prophecy",F272="TsukumoGami"),0,IF(F272="Varies","V",IF(AND(G272=0,CharacterSheet!$R$36="No"),0,IF(AND(G272=0,CharacterSheet!$R$36="Yes"),LOOKUP(D272,Reference!$N$2:$N$10,Reference!$O$2:$O$10),IF(G272&gt;0,LOOKUP(D272,Reference!$N$2:$N$10,Reference!$P$2:$P$10),"ERROR"))))))</f>
        <v>0</v>
      </c>
      <c r="L272" s="66" t="s">
        <v>361</v>
      </c>
      <c r="M272" s="66">
        <f>IF(E272="V","V",IF(J272="Yes",K272,0)+IF(L272="Yes",CharacterSheet!D330,0))</f>
        <v>0</v>
      </c>
      <c r="N272" s="66" t="s">
        <v>1561</v>
      </c>
      <c r="O272" s="66" t="s">
        <v>175</v>
      </c>
      <c r="P272" s="66" t="s">
        <v>141</v>
      </c>
      <c r="Q272" s="188">
        <v>152</v>
      </c>
    </row>
    <row r="273" spans="1:17" x14ac:dyDescent="0.25">
      <c r="A273" s="86" t="s">
        <v>1483</v>
      </c>
      <c r="B273" s="39" t="s">
        <v>196</v>
      </c>
      <c r="C273" s="39">
        <v>9</v>
      </c>
      <c r="D273" s="66" t="s">
        <v>17</v>
      </c>
      <c r="E273" s="66">
        <f>LOOKUP(D273,Reference!$B$33:$B$46,Reference!$C$33:$C$46)</f>
        <v>1</v>
      </c>
      <c r="F273" s="66" t="s">
        <v>51</v>
      </c>
      <c r="G273" s="66">
        <f>LOOKUP(F273,Reference!$D$32:$D$55,Reference!$E$32:$E$55)</f>
        <v>0</v>
      </c>
      <c r="H273" s="66" t="s">
        <v>361</v>
      </c>
      <c r="I273" s="57">
        <f>IF(OR(E273="V",G273="V"),"V",IF(AND(E273="None",G273="None"),"None",(IF(E273="None",0,E273)+IF(G273="None",0,G273)+IF(H273="Yes",CharacterSheet!$V$34,0))))</f>
        <v>1</v>
      </c>
      <c r="J273" s="57" t="s">
        <v>360</v>
      </c>
      <c r="K273" s="66">
        <f>IF(J273="no",0,IF(OR(F273="None",F273="Cheval",F273="Legend",F273="Mystery",F273="Prophecy",F273="TsukumoGami"),0,IF(F273="Varies","V",IF(AND(G273=0,CharacterSheet!$R$36="No"),0,IF(AND(G273=0,CharacterSheet!$R$36="Yes"),LOOKUP(D273,Reference!$N$2:$N$10,Reference!$O$2:$O$10),IF(G273&gt;0,LOOKUP(D273,Reference!$N$2:$N$10,Reference!$P$2:$P$10),"ERROR"))))))</f>
        <v>0</v>
      </c>
      <c r="L273" s="66" t="s">
        <v>361</v>
      </c>
      <c r="M273" s="66">
        <f>IF(E273="V","V",IF(J273="Yes",K273,0)+IF(L273="Yes",CharacterSheet!D327,0))</f>
        <v>0</v>
      </c>
      <c r="N273" s="66" t="s">
        <v>1702</v>
      </c>
      <c r="O273" s="66" t="s">
        <v>1576</v>
      </c>
      <c r="P273" s="66" t="s">
        <v>1068</v>
      </c>
      <c r="Q273" s="188">
        <v>246</v>
      </c>
    </row>
    <row r="274" spans="1:17" x14ac:dyDescent="0.25">
      <c r="A274" s="86" t="s">
        <v>1278</v>
      </c>
      <c r="B274" s="39" t="s">
        <v>369</v>
      </c>
      <c r="C274" s="39">
        <v>8</v>
      </c>
      <c r="D274" s="66" t="s">
        <v>13</v>
      </c>
      <c r="E274" s="66">
        <f>LOOKUP(D274,Reference!$B$33:$B$46,Reference!$C$33:$C$46)</f>
        <v>1</v>
      </c>
      <c r="F274" s="66" t="s">
        <v>49</v>
      </c>
      <c r="G274" s="66">
        <f>LOOKUP(F274,Reference!$D$32:$D$55,Reference!$E$32:$E$55)</f>
        <v>0</v>
      </c>
      <c r="H274" s="66" t="s">
        <v>361</v>
      </c>
      <c r="I274" s="57">
        <f>IF(OR(E274="V",G274="V"),"V",IF(AND(E274="None",G274="None"),"None",(IF(E274="None",0,E274)+IF(G274="None",0,G274)+IF(H274="Yes",CharacterSheet!$V$34,0))))</f>
        <v>1</v>
      </c>
      <c r="J274" s="57" t="s">
        <v>360</v>
      </c>
      <c r="K274" s="66">
        <f>IF(J274="no",0,IF(OR(F274="None",F274="Cheval",F274="Legend",F274="Mystery",F274="Prophecy",F274="TsukumoGami"),0,IF(F274="Varies","V",IF(AND(G274=0,CharacterSheet!$R$36="No"),0,IF(AND(G274=0,CharacterSheet!$R$36="Yes"),LOOKUP(D274,Reference!$N$2:$N$10,Reference!$O$2:$O$10),IF(G274&gt;0,LOOKUP(D274,Reference!$N$2:$N$10,Reference!$P$2:$P$10),"ERROR"))))))</f>
        <v>0</v>
      </c>
      <c r="L274" s="66" t="s">
        <v>361</v>
      </c>
      <c r="M274" s="66">
        <f>IF(E274="V","V",IF(J274="Yes",K274,0)+IF(L274="Yes",CharacterSheet!D312,0))</f>
        <v>0</v>
      </c>
      <c r="N274" s="66" t="s">
        <v>1074</v>
      </c>
      <c r="O274" s="66" t="s">
        <v>1623</v>
      </c>
      <c r="P274" s="66" t="s">
        <v>5</v>
      </c>
      <c r="Q274" s="188">
        <v>85</v>
      </c>
    </row>
    <row r="275" spans="1:17" x14ac:dyDescent="0.25">
      <c r="A275" s="86" t="s">
        <v>1310</v>
      </c>
      <c r="B275" s="39" t="s">
        <v>376</v>
      </c>
      <c r="C275" s="39">
        <v>9</v>
      </c>
      <c r="D275" s="66" t="s">
        <v>20</v>
      </c>
      <c r="E275" s="66">
        <f>LOOKUP(D275,Reference!$B$33:$B$46,Reference!$C$33:$C$46)</f>
        <v>1</v>
      </c>
      <c r="F275" s="66" t="s">
        <v>38</v>
      </c>
      <c r="G275" s="66">
        <f>LOOKUP(F275,Reference!$D$32:$D$55,Reference!$E$32:$E$55)</f>
        <v>0</v>
      </c>
      <c r="H275" s="66" t="s">
        <v>361</v>
      </c>
      <c r="I275" s="57">
        <f>IF(OR(E275="V",G275="V"),"V",IF(AND(E275="None",G275="None"),"None",(IF(E275="None",0,E275)+IF(G275="None",0,G275)+IF(H275="Yes",CharacterSheet!$V$34,0))))</f>
        <v>1</v>
      </c>
      <c r="J275" s="57" t="s">
        <v>360</v>
      </c>
      <c r="K275" s="66">
        <f>IF(J275="no",0,IF(OR(F275="None",F275="Cheval",F275="Legend",F275="Mystery",F275="Prophecy",F275="TsukumoGami"),0,IF(F275="Varies","V",IF(AND(G275=0,CharacterSheet!$R$36="No"),0,IF(AND(G275=0,CharacterSheet!$R$36="Yes"),LOOKUP(D275,Reference!$N$2:$N$10,Reference!$O$2:$O$10),IF(G275&gt;0,LOOKUP(D275,Reference!$N$2:$N$10,Reference!$P$2:$P$10),"ERROR"))))))</f>
        <v>0</v>
      </c>
      <c r="L275" s="66" t="s">
        <v>361</v>
      </c>
      <c r="M275" s="66">
        <f>IF(E275="V","V",IF(J275="Yes",K275,0)+IF(L275="Yes",CharacterSheet!D163,0))</f>
        <v>0</v>
      </c>
      <c r="N275" s="66" t="s">
        <v>1656</v>
      </c>
      <c r="O275" s="66" t="s">
        <v>1544</v>
      </c>
      <c r="P275" s="66" t="s">
        <v>5</v>
      </c>
      <c r="Q275" s="188">
        <v>97</v>
      </c>
    </row>
    <row r="276" spans="1:17" x14ac:dyDescent="0.25">
      <c r="A276" s="86" t="s">
        <v>1275</v>
      </c>
      <c r="B276" s="39" t="s">
        <v>368</v>
      </c>
      <c r="C276" s="39">
        <v>9</v>
      </c>
      <c r="D276" s="66" t="s">
        <v>1086</v>
      </c>
      <c r="E276" s="66" t="str">
        <f>LOOKUP(D276,Reference!$B$33:$B$46,Reference!$C$33:$C$46)</f>
        <v>V</v>
      </c>
      <c r="F276" s="66" t="s">
        <v>39</v>
      </c>
      <c r="G276" s="66">
        <f>LOOKUP(F276,Reference!$D$32:$D$55,Reference!$E$32:$E$55)</f>
        <v>0</v>
      </c>
      <c r="H276" s="66" t="s">
        <v>361</v>
      </c>
      <c r="I276" s="57" t="str">
        <f>IF(OR(E276="V",G276="V"),"V",IF(AND(E276="None",G276="None"),"None",(IF(E276="None",0,E276)+IF(G276="None",0,G276)+IF(H276="Yes",CharacterSheet!$V$34,0))))</f>
        <v>V</v>
      </c>
      <c r="J276" s="57" t="s">
        <v>361</v>
      </c>
      <c r="K276" s="66">
        <f>IF(J276="no",0,IF(OR(F276="None",F276="Cheval",F276="Legend",F276="Mystery",F276="Prophecy",F276="TsukumoGami"),0,IF(F276="Varies","V",IF(AND(G276=0,CharacterSheet!$R$36="No"),0,IF(AND(G276=0,CharacterSheet!$R$36="Yes"),LOOKUP(D276,Reference!$N$2:$N$10,Reference!$O$2:$O$10),IF(G276&gt;0,LOOKUP(D276,Reference!$N$2:$N$10,Reference!$P$2:$P$10),"ERROR"))))))</f>
        <v>0</v>
      </c>
      <c r="L276" s="66" t="s">
        <v>361</v>
      </c>
      <c r="M276" s="66" t="str">
        <f>IF(E276="V","V",IF(J276="Yes",K276,0)+IF(L276="Yes",CharacterSheet!D280,0))</f>
        <v>V</v>
      </c>
      <c r="N276" s="66" t="s">
        <v>1075</v>
      </c>
      <c r="O276" s="66" t="s">
        <v>1763</v>
      </c>
      <c r="P276" s="66" t="s">
        <v>5</v>
      </c>
      <c r="Q276" s="188">
        <v>84</v>
      </c>
    </row>
    <row r="277" spans="1:17" x14ac:dyDescent="0.25">
      <c r="A277" s="86" t="s">
        <v>1303</v>
      </c>
      <c r="B277" s="39" t="s">
        <v>374</v>
      </c>
      <c r="C277" s="39">
        <v>9</v>
      </c>
      <c r="D277" s="66" t="s">
        <v>17</v>
      </c>
      <c r="E277" s="66">
        <f>LOOKUP(D277,Reference!$B$33:$B$46,Reference!$C$33:$C$46)</f>
        <v>1</v>
      </c>
      <c r="F277" s="66" t="s">
        <v>51</v>
      </c>
      <c r="G277" s="66">
        <f>LOOKUP(F277,Reference!$D$32:$D$55,Reference!$E$32:$E$55)</f>
        <v>0</v>
      </c>
      <c r="H277" s="66" t="s">
        <v>360</v>
      </c>
      <c r="I277" s="57">
        <f>IF(OR(E277="V",G277="V"),"V",IF(AND(E277="None",G277="None"),"None",(IF(E277="None",0,E277)+IF(G277="None",0,G277)+IF(H277="Yes",CharacterSheet!$V$34,0))))</f>
        <v>3</v>
      </c>
      <c r="J277" s="57" t="s">
        <v>360</v>
      </c>
      <c r="K277" s="66">
        <f>IF(J277="no",0,IF(OR(F277="None",F277="Cheval",F277="Legend",F277="Mystery",F277="Prophecy",F277="TsukumoGami"),0,IF(F277="Varies","V",IF(AND(G277=0,CharacterSheet!$R$36="No"),0,IF(AND(G277=0,CharacterSheet!$R$36="Yes"),LOOKUP(D277,Reference!$N$2:$N$10,Reference!$O$2:$O$10),IF(G277&gt;0,LOOKUP(D277,Reference!$N$2:$N$10,Reference!$P$2:$P$10),"ERROR"))))))</f>
        <v>0</v>
      </c>
      <c r="L277" s="66" t="s">
        <v>361</v>
      </c>
      <c r="M277" s="66">
        <f>IF(E277="V","V",IF(J277="Yes",K277,0)+IF(L277="Yes",CharacterSheet!D289,0))</f>
        <v>0</v>
      </c>
      <c r="N277" s="66" t="s">
        <v>1652</v>
      </c>
      <c r="O277" s="66" t="s">
        <v>1576</v>
      </c>
      <c r="P277" s="66" t="s">
        <v>5</v>
      </c>
      <c r="Q277" s="188">
        <v>94</v>
      </c>
    </row>
    <row r="278" spans="1:17" x14ac:dyDescent="0.25">
      <c r="A278" s="86" t="s">
        <v>1403</v>
      </c>
      <c r="B278" s="39" t="s">
        <v>366</v>
      </c>
      <c r="C278" s="39">
        <v>7</v>
      </c>
      <c r="D278" s="66" t="s">
        <v>20</v>
      </c>
      <c r="E278" s="66">
        <f>LOOKUP(D278,Reference!$B$33:$B$46,Reference!$C$33:$C$46)</f>
        <v>1</v>
      </c>
      <c r="F278" s="66" t="s">
        <v>55</v>
      </c>
      <c r="G278" s="66">
        <f>LOOKUP(F278,Reference!$D$32:$D$55,Reference!$E$32:$E$55)</f>
        <v>0</v>
      </c>
      <c r="H278" s="66" t="s">
        <v>361</v>
      </c>
      <c r="I278" s="57">
        <f>IF(OR(E278="V",G278="V"),"V",IF(AND(E278="None",G278="None"),"None",(IF(E278="None",0,E278)+IF(G278="None",0,G278)+IF(H278="Yes",CharacterSheet!$V$34,0))))</f>
        <v>1</v>
      </c>
      <c r="J278" s="57" t="s">
        <v>360</v>
      </c>
      <c r="K278" s="66">
        <f>IF(J278="no",0,IF(OR(F278="None",F278="Cheval",F278="Legend",F278="Mystery",F278="Prophecy",F278="TsukumoGami"),0,IF(F278="Varies","V",IF(AND(G278=0,CharacterSheet!$R$36="No"),0,IF(AND(G278=0,CharacterSheet!$R$36="Yes"),LOOKUP(D278,Reference!$N$2:$N$10,Reference!$O$2:$O$10),IF(G278&gt;0,LOOKUP(D278,Reference!$N$2:$N$10,Reference!$P$2:$P$10),"ERROR"))))))</f>
        <v>0</v>
      </c>
      <c r="L278" s="66" t="s">
        <v>361</v>
      </c>
      <c r="M278" s="66">
        <f>IF(E278="V","V",IF(J278="Yes",K278,0)+IF(L278="Yes",CharacterSheet!D167,0))</f>
        <v>0</v>
      </c>
      <c r="N278" s="66" t="s">
        <v>1086</v>
      </c>
      <c r="O278" s="66" t="s">
        <v>1706</v>
      </c>
      <c r="P278" s="66" t="s">
        <v>1068</v>
      </c>
      <c r="Q278" s="188">
        <v>71</v>
      </c>
    </row>
    <row r="279" spans="1:17" x14ac:dyDescent="0.25">
      <c r="A279" s="86" t="s">
        <v>1092</v>
      </c>
      <c r="B279" s="39" t="s">
        <v>367</v>
      </c>
      <c r="C279" s="39">
        <v>3</v>
      </c>
      <c r="D279" s="66" t="s">
        <v>21</v>
      </c>
      <c r="E279" s="66">
        <f>LOOKUP(D279,Reference!$B$33:$B$46,Reference!$C$33:$C$46)</f>
        <v>1</v>
      </c>
      <c r="F279" s="66" t="s">
        <v>41</v>
      </c>
      <c r="G279" s="66">
        <f>LOOKUP(F279,Reference!$D$32:$D$55,Reference!$E$32:$E$55)</f>
        <v>0</v>
      </c>
      <c r="H279" s="66" t="s">
        <v>361</v>
      </c>
      <c r="I279" s="57">
        <f>IF(OR(E279="V",G279="V"),"V",IF(AND(E279="None",G279="None"),"None",(IF(E279="None",0,E279)+IF(G279="None",0,G279)+IF(H279="Yes",CharacterSheet!$V$34,0))))</f>
        <v>1</v>
      </c>
      <c r="J279" s="57" t="s">
        <v>360</v>
      </c>
      <c r="K279" s="66">
        <f>IF(J279="no",0,IF(OR(F279="None",F279="Cheval",F279="Legend",F279="Mystery",F279="Prophecy",F279="TsukumoGami"),0,IF(F279="Varies","V",IF(AND(G279=0,CharacterSheet!$R$36="No"),0,IF(AND(G279=0,CharacterSheet!$R$36="Yes"),LOOKUP(D279,Reference!$N$2:$N$10,Reference!$O$2:$O$10),IF(G279&gt;0,LOOKUP(D279,Reference!$N$2:$N$10,Reference!$P$2:$P$10),"ERROR"))))))</f>
        <v>0</v>
      </c>
      <c r="L279" s="66" t="s">
        <v>361</v>
      </c>
      <c r="M279" s="66">
        <f>IF(E279="V","V",IF(J279="Yes",K279,0)+IF(L279="Yes",CharacterSheet!D92,0))</f>
        <v>0</v>
      </c>
      <c r="N279" s="66" t="s">
        <v>1624</v>
      </c>
      <c r="O279" s="66" t="s">
        <v>1545</v>
      </c>
      <c r="P279" s="66" t="s">
        <v>141</v>
      </c>
      <c r="Q279" s="188">
        <v>140</v>
      </c>
    </row>
    <row r="280" spans="1:17" x14ac:dyDescent="0.25">
      <c r="A280" s="87" t="s">
        <v>1533</v>
      </c>
      <c r="B280" s="66" t="s">
        <v>385</v>
      </c>
      <c r="C280" s="66">
        <v>1</v>
      </c>
      <c r="D280" s="66" t="s">
        <v>16</v>
      </c>
      <c r="E280" s="66">
        <f>LOOKUP(D280,Reference!$B$33:$B$46,Reference!$C$33:$C$46)</f>
        <v>1</v>
      </c>
      <c r="F280" s="66" t="s">
        <v>40</v>
      </c>
      <c r="G280" s="66">
        <f>LOOKUP(F280,Reference!$D$32:$D$55,Reference!$E$32:$E$55)</f>
        <v>0</v>
      </c>
      <c r="H280" s="66" t="s">
        <v>361</v>
      </c>
      <c r="I280" s="57">
        <f>IF(OR(E280="V",G280="V"),"V",IF(AND(E280="None",G280="None"),"None",(IF(E280="None",0,E280)+IF(G280="None",0,G280)+IF(H280="Yes",CharacterSheet!$V$34,0))))</f>
        <v>1</v>
      </c>
      <c r="J280" s="57" t="s">
        <v>360</v>
      </c>
      <c r="K280" s="66">
        <f>IF(J280="no",0,IF(OR(F280="None",F280="Cheval",F280="Legend",F280="Mystery",F280="Prophecy",F280="TsukumoGami"),0,IF(F280="Varies","V",IF(AND(G280=0,CharacterSheet!$R$36="No"),0,IF(AND(G280=0,CharacterSheet!$R$36="Yes"),LOOKUP(D280,Reference!$N$2:$N$10,Reference!$O$2:$O$10),IF(G280&gt;0,LOOKUP(D280,Reference!$N$2:$N$10,Reference!$P$2:$P$10),"ERROR"))))))</f>
        <v>0</v>
      </c>
      <c r="L280" s="66" t="s">
        <v>361</v>
      </c>
      <c r="M280" s="66">
        <f>IF(E280="V","V",IF(J280="Yes",K280,0)+IF(L280="Yes",CharacterSheet!D287,0))</f>
        <v>0</v>
      </c>
      <c r="N280" s="66" t="s">
        <v>1072</v>
      </c>
      <c r="O280" s="66" t="s">
        <v>1549</v>
      </c>
      <c r="P280" s="66" t="s">
        <v>1507</v>
      </c>
      <c r="Q280" s="188">
        <v>44</v>
      </c>
    </row>
    <row r="281" spans="1:17" x14ac:dyDescent="0.25">
      <c r="A281" s="86" t="s">
        <v>1126</v>
      </c>
      <c r="B281" s="39" t="s">
        <v>379</v>
      </c>
      <c r="C281" s="39">
        <v>1</v>
      </c>
      <c r="D281" s="66" t="s">
        <v>508</v>
      </c>
      <c r="E281" s="66" t="str">
        <f>LOOKUP(D281,Reference!$B$33:$B$46,Reference!$C$33:$C$46)</f>
        <v>None</v>
      </c>
      <c r="F281" s="66" t="s">
        <v>508</v>
      </c>
      <c r="G281" s="66" t="str">
        <f>LOOKUP(F281,Reference!$D$32:$D$55,Reference!$E$32:$E$55)</f>
        <v>None</v>
      </c>
      <c r="H281" s="66" t="s">
        <v>361</v>
      </c>
      <c r="I281" s="57" t="str">
        <f>IF(OR(E281="V",G281="V"),"V",IF(AND(E281="None",G281="None"),"None",(IF(E281="None",0,E281)+IF(G281="None",0,G281)+IF(H281="Yes",CharacterSheet!$V$34,0))))</f>
        <v>None</v>
      </c>
      <c r="J281" s="57" t="s">
        <v>361</v>
      </c>
      <c r="K281" s="66">
        <f>IF(J281="no",0,IF(OR(F281="None",F281="Cheval",F281="Legend",F281="Mystery",F281="Prophecy",F281="TsukumoGami"),0,IF(F281="Varies","V",IF(AND(G281=0,CharacterSheet!$R$36="No"),0,IF(AND(G281=0,CharacterSheet!$R$36="Yes"),LOOKUP(D281,Reference!$N$2:$N$10,Reference!$O$2:$O$10),IF(G281&gt;0,LOOKUP(D281,Reference!$N$2:$N$10,Reference!$P$2:$P$10),"ERROR"))))))</f>
        <v>0</v>
      </c>
      <c r="L281" s="66" t="s">
        <v>361</v>
      </c>
      <c r="M281" s="66">
        <f>IF(E281="V","V",IF(J281="Yes",K281,0)+IF(L281="Yes",CharacterSheet!D272,0))</f>
        <v>0</v>
      </c>
      <c r="N281" s="66" t="s">
        <v>508</v>
      </c>
      <c r="O281" s="66" t="s">
        <v>508</v>
      </c>
      <c r="P281" s="66" t="s">
        <v>141</v>
      </c>
      <c r="Q281" s="188">
        <v>147</v>
      </c>
    </row>
    <row r="282" spans="1:17" x14ac:dyDescent="0.25">
      <c r="A282" s="86" t="s">
        <v>1496</v>
      </c>
      <c r="B282" s="39" t="s">
        <v>378</v>
      </c>
      <c r="C282" s="39">
        <v>1</v>
      </c>
      <c r="D282" s="66" t="s">
        <v>19</v>
      </c>
      <c r="E282" s="66">
        <f>LOOKUP(D282,Reference!$B$33:$B$46,Reference!$C$33:$C$46)</f>
        <v>1</v>
      </c>
      <c r="F282" s="66" t="s">
        <v>58</v>
      </c>
      <c r="G282" s="66">
        <f>LOOKUP(F282,Reference!$D$32:$D$55,Reference!$E$32:$E$55)</f>
        <v>0</v>
      </c>
      <c r="H282" s="66" t="s">
        <v>361</v>
      </c>
      <c r="I282" s="57">
        <f>IF(OR(E282="V",G282="V"),"V",IF(AND(E282="None",G282="None"),"None",(IF(E282="None",0,E282)+IF(G282="None",0,G282)+IF(H282="Yes",CharacterSheet!$V$34,0))))</f>
        <v>1</v>
      </c>
      <c r="J282" s="57" t="s">
        <v>360</v>
      </c>
      <c r="K282" s="66">
        <f>IF(J282="no",0,IF(OR(F282="None",F282="Cheval",F282="Legend",F282="Mystery",F282="Prophecy",F282="TsukumoGami"),0,IF(F282="Varies","V",IF(AND(G282=0,CharacterSheet!$R$36="No"),0,IF(AND(G282=0,CharacterSheet!$R$36="Yes"),LOOKUP(D282,Reference!$N$2:$N$10,Reference!$O$2:$O$10),IF(G282&gt;0,LOOKUP(D282,Reference!$N$2:$N$10,Reference!$P$2:$P$10),"ERROR"))))))</f>
        <v>0</v>
      </c>
      <c r="L282" s="66" t="s">
        <v>361</v>
      </c>
      <c r="M282" s="66">
        <f>IF(E282="V","V",IF(J282="Yes",K282,0)+IF(L282="Yes",CharacterSheet!D470,0))</f>
        <v>0</v>
      </c>
      <c r="N282" s="66" t="s">
        <v>508</v>
      </c>
      <c r="O282" s="66" t="s">
        <v>1694</v>
      </c>
      <c r="P282" s="66" t="s">
        <v>1485</v>
      </c>
      <c r="Q282" s="188">
        <v>17</v>
      </c>
    </row>
    <row r="283" spans="1:17" x14ac:dyDescent="0.25">
      <c r="A283" s="86" t="s">
        <v>1139</v>
      </c>
      <c r="B283" s="39" t="s">
        <v>185</v>
      </c>
      <c r="C283" s="39">
        <v>2</v>
      </c>
      <c r="D283" s="66" t="s">
        <v>20</v>
      </c>
      <c r="E283" s="66">
        <f>LOOKUP(D283,Reference!$B$33:$B$46,Reference!$C$33:$C$46)</f>
        <v>1</v>
      </c>
      <c r="F283" s="66" t="s">
        <v>56</v>
      </c>
      <c r="G283" s="66">
        <f>LOOKUP(F283,Reference!$D$32:$D$55,Reference!$E$32:$E$55)</f>
        <v>0</v>
      </c>
      <c r="H283" s="66" t="s">
        <v>361</v>
      </c>
      <c r="I283" s="57">
        <f>IF(OR(E283="V",G283="V"),"V",IF(AND(E283="None",G283="None"),"None",(IF(E283="None",0,E283)+IF(G283="None",0,G283)+IF(H283="Yes",CharacterSheet!$V$34,0))))</f>
        <v>1</v>
      </c>
      <c r="J283" s="57" t="s">
        <v>360</v>
      </c>
      <c r="K283" s="66">
        <f>IF(J283="no",0,IF(OR(F283="None",F283="Cheval",F283="Legend",F283="Mystery",F283="Prophecy",F283="TsukumoGami"),0,IF(F283="Varies","V",IF(AND(G283=0,CharacterSheet!$R$36="No"),0,IF(AND(G283=0,CharacterSheet!$R$36="Yes"),LOOKUP(D283,Reference!$N$2:$N$10,Reference!$O$2:$O$10),IF(G283&gt;0,LOOKUP(D283,Reference!$N$2:$N$10,Reference!$P$2:$P$10),"ERROR"))))))</f>
        <v>0</v>
      </c>
      <c r="L283" s="66" t="s">
        <v>361</v>
      </c>
      <c r="M283" s="66">
        <f>IF(E283="V","V",IF(J283="Yes",K283,0)+IF(L283="Yes",CharacterSheet!D257,0))</f>
        <v>0</v>
      </c>
      <c r="N283" s="66" t="s">
        <v>1624</v>
      </c>
      <c r="O283" s="66" t="s">
        <v>1569</v>
      </c>
      <c r="P283" s="66" t="s">
        <v>141</v>
      </c>
      <c r="Q283" s="188">
        <v>150</v>
      </c>
    </row>
    <row r="284" spans="1:17" x14ac:dyDescent="0.25">
      <c r="A284" s="86" t="s">
        <v>1208</v>
      </c>
      <c r="B284" s="39" t="s">
        <v>375</v>
      </c>
      <c r="C284" s="39">
        <v>6</v>
      </c>
      <c r="D284" s="66" t="s">
        <v>13</v>
      </c>
      <c r="E284" s="66">
        <f>LOOKUP(D284,Reference!$B$33:$B$46,Reference!$C$33:$C$46)</f>
        <v>1</v>
      </c>
      <c r="F284" s="66" t="s">
        <v>52</v>
      </c>
      <c r="G284" s="66">
        <f>LOOKUP(F284,Reference!$D$32:$D$55,Reference!$E$32:$E$55)</f>
        <v>0</v>
      </c>
      <c r="H284" s="66" t="s">
        <v>361</v>
      </c>
      <c r="I284" s="57">
        <f>IF(OR(E284="V",G284="V"),"V",IF(AND(E284="None",G284="None"),"None",(IF(E284="None",0,E284)+IF(G284="None",0,G284)+IF(H284="Yes",CharacterSheet!$V$34,0))))</f>
        <v>1</v>
      </c>
      <c r="J284" s="57" t="s">
        <v>360</v>
      </c>
      <c r="K284" s="66">
        <f>IF(J284="no",0,IF(OR(F284="None",F284="Cheval",F284="Legend",F284="Mystery",F284="Prophecy",F284="TsukumoGami"),0,IF(F284="Varies","V",IF(AND(G284=0,CharacterSheet!$R$36="No"),0,IF(AND(G284=0,CharacterSheet!$R$36="Yes"),LOOKUP(D284,Reference!$N$2:$N$10,Reference!$O$2:$O$10),IF(G284&gt;0,LOOKUP(D284,Reference!$N$2:$N$10,Reference!$P$2:$P$10),"ERROR"))))))</f>
        <v>0</v>
      </c>
      <c r="L284" s="66" t="s">
        <v>361</v>
      </c>
      <c r="M284" s="66">
        <f>IF(E284="V","V",IF(J284="Yes",K284,0)+IF(L284="Yes",CharacterSheet!D139,0))</f>
        <v>0</v>
      </c>
      <c r="N284" s="66" t="s">
        <v>1074</v>
      </c>
      <c r="O284" s="66" t="s">
        <v>1547</v>
      </c>
      <c r="P284" s="66" t="s">
        <v>1067</v>
      </c>
      <c r="Q284" s="188">
        <v>84</v>
      </c>
    </row>
    <row r="285" spans="1:17" x14ac:dyDescent="0.25">
      <c r="A285" s="86" t="s">
        <v>1119</v>
      </c>
      <c r="B285" s="39" t="s">
        <v>375</v>
      </c>
      <c r="C285" s="39">
        <v>3</v>
      </c>
      <c r="D285" s="66" t="s">
        <v>13</v>
      </c>
      <c r="E285" s="66">
        <f>LOOKUP(D285,Reference!$B$33:$B$46,Reference!$C$33:$C$46)</f>
        <v>1</v>
      </c>
      <c r="F285" s="66" t="s">
        <v>52</v>
      </c>
      <c r="G285" s="66">
        <f>LOOKUP(F285,Reference!$D$32:$D$55,Reference!$E$32:$E$55)</f>
        <v>0</v>
      </c>
      <c r="H285" s="66" t="s">
        <v>361</v>
      </c>
      <c r="I285" s="57">
        <f>IF(OR(E285="V",G285="V"),"V",IF(AND(E285="None",G285="None"),"None",(IF(E285="None",0,E285)+IF(G285="None",0,G285)+IF(H285="Yes",CharacterSheet!$V$34,0))))</f>
        <v>1</v>
      </c>
      <c r="J285" s="57" t="s">
        <v>360</v>
      </c>
      <c r="K285" s="66">
        <f>IF(J285="no",0,IF(OR(F285="None",F285="Cheval",F285="Legend",F285="Mystery",F285="Prophecy",F285="TsukumoGami"),0,IF(F285="Varies","V",IF(AND(G285=0,CharacterSheet!$R$36="No"),0,IF(AND(G285=0,CharacterSheet!$R$36="Yes"),LOOKUP(D285,Reference!$N$2:$N$10,Reference!$O$2:$O$10),IF(G285&gt;0,LOOKUP(D285,Reference!$N$2:$N$10,Reference!$P$2:$P$10),"ERROR"))))))</f>
        <v>0</v>
      </c>
      <c r="L285" s="66" t="s">
        <v>361</v>
      </c>
      <c r="M285" s="66">
        <f>IF(E285="V","V",IF(J285="Yes",K285,0)+IF(L285="Yes",CharacterSheet!D268,0))</f>
        <v>0</v>
      </c>
      <c r="N285" s="66" t="s">
        <v>1072</v>
      </c>
      <c r="O285" s="66" t="s">
        <v>1547</v>
      </c>
      <c r="P285" s="66" t="s">
        <v>141</v>
      </c>
      <c r="Q285" s="188">
        <v>145</v>
      </c>
    </row>
    <row r="286" spans="1:17" x14ac:dyDescent="0.25">
      <c r="A286" s="86" t="s">
        <v>1300</v>
      </c>
      <c r="B286" s="39" t="s">
        <v>115</v>
      </c>
      <c r="C286" s="39">
        <v>10</v>
      </c>
      <c r="D286" s="66" t="s">
        <v>20</v>
      </c>
      <c r="E286" s="66">
        <f>LOOKUP(D286,Reference!$B$33:$B$46,Reference!$C$33:$C$46)</f>
        <v>1</v>
      </c>
      <c r="F286" s="66" t="s">
        <v>47</v>
      </c>
      <c r="G286" s="66">
        <f>LOOKUP(F286,Reference!$D$32:$D$55,Reference!$E$32:$E$55)</f>
        <v>0</v>
      </c>
      <c r="H286" s="66" t="s">
        <v>361</v>
      </c>
      <c r="I286" s="57">
        <f>IF(OR(E286="V",G286="V"),"V",IF(AND(E286="None",G286="None"),"None",(IF(E286="None",0,E286)+IF(G286="None",0,G286)+IF(H286="Yes",CharacterSheet!$V$34,0))))</f>
        <v>1</v>
      </c>
      <c r="J286" s="57" t="s">
        <v>360</v>
      </c>
      <c r="K286" s="66">
        <f>IF(J286="no",0,IF(OR(F286="None",F286="Cheval",F286="Legend",F286="Mystery",F286="Prophecy",F286="TsukumoGami"),0,IF(F286="Varies","V",IF(AND(G286=0,CharacterSheet!$R$36="No"),0,IF(AND(G286=0,CharacterSheet!$R$36="Yes"),LOOKUP(D286,Reference!$N$2:$N$10,Reference!$O$2:$O$10),IF(G286&gt;0,LOOKUP(D286,Reference!$N$2:$N$10,Reference!$P$2:$P$10),"ERROR"))))))</f>
        <v>0</v>
      </c>
      <c r="L286" s="66" t="s">
        <v>361</v>
      </c>
      <c r="M286" s="66">
        <f>IF(E286="V","V",IF(J286="Yes",K286,0)+IF(L286="Yes",CharacterSheet!D291,0))</f>
        <v>0</v>
      </c>
      <c r="N286" s="66" t="s">
        <v>1652</v>
      </c>
      <c r="O286" s="66" t="s">
        <v>1608</v>
      </c>
      <c r="P286" s="66" t="s">
        <v>5</v>
      </c>
      <c r="Q286" s="188">
        <v>93</v>
      </c>
    </row>
    <row r="287" spans="1:17" x14ac:dyDescent="0.25">
      <c r="A287" s="86" t="s">
        <v>1244</v>
      </c>
      <c r="B287" s="39" t="s">
        <v>174</v>
      </c>
      <c r="C287" s="39">
        <v>6</v>
      </c>
      <c r="D287" s="66" t="s">
        <v>508</v>
      </c>
      <c r="E287" s="66" t="str">
        <f>LOOKUP(D287,Reference!$B$33:$B$46,Reference!$C$33:$C$46)</f>
        <v>None</v>
      </c>
      <c r="F287" s="66" t="s">
        <v>508</v>
      </c>
      <c r="G287" s="66" t="str">
        <f>LOOKUP(F287,Reference!$D$32:$D$55,Reference!$E$32:$E$55)</f>
        <v>None</v>
      </c>
      <c r="H287" s="66" t="s">
        <v>361</v>
      </c>
      <c r="I287" s="57" t="str">
        <f>IF(OR(E287="V",G287="V"),"V",IF(AND(E287="None",G287="None"),"None",(IF(E287="None",0,E287)+IF(G287="None",0,G287)+IF(H287="Yes",CharacterSheet!$V$34,0))))</f>
        <v>None</v>
      </c>
      <c r="J287" s="57" t="s">
        <v>361</v>
      </c>
      <c r="K287" s="66">
        <f>IF(J287="no",0,IF(OR(F287="None",F287="Cheval",F287="Legend",F287="Mystery",F287="Prophecy",F287="TsukumoGami"),0,IF(F287="Varies","V",IF(AND(G287=0,CharacterSheet!$R$36="No"),0,IF(AND(G287=0,CharacterSheet!$R$36="Yes"),LOOKUP(D287,Reference!$N$2:$N$10,Reference!$O$2:$O$10),IF(G287&gt;0,LOOKUP(D287,Reference!$N$2:$N$10,Reference!$P$2:$P$10),"ERROR"))))))</f>
        <v>0</v>
      </c>
      <c r="L287" s="66" t="s">
        <v>361</v>
      </c>
      <c r="M287" s="66">
        <f>IF(E287="V","V",IF(J287="Yes",K287,0)+IF(L287="Yes",CharacterSheet!D425,0))</f>
        <v>0</v>
      </c>
      <c r="N287" s="66" t="s">
        <v>1594</v>
      </c>
      <c r="O287" s="66" t="s">
        <v>508</v>
      </c>
      <c r="P287" s="66" t="s">
        <v>1067</v>
      </c>
      <c r="Q287" s="188">
        <v>94</v>
      </c>
    </row>
    <row r="288" spans="1:17" x14ac:dyDescent="0.25">
      <c r="A288" s="86" t="s">
        <v>1476</v>
      </c>
      <c r="B288" s="39" t="s">
        <v>196</v>
      </c>
      <c r="C288" s="39">
        <v>2</v>
      </c>
      <c r="D288" s="66" t="s">
        <v>20</v>
      </c>
      <c r="E288" s="66">
        <f>LOOKUP(D288,Reference!$B$33:$B$46,Reference!$C$33:$C$46)</f>
        <v>1</v>
      </c>
      <c r="F288" s="66" t="s">
        <v>40</v>
      </c>
      <c r="G288" s="66">
        <f>LOOKUP(F288,Reference!$D$32:$D$55,Reference!$E$32:$E$55)</f>
        <v>0</v>
      </c>
      <c r="H288" s="66" t="s">
        <v>361</v>
      </c>
      <c r="I288" s="57">
        <f>IF(OR(E288="V",G288="V"),"V",IF(AND(E288="None",G288="None"),"None",(IF(E288="None",0,E288)+IF(G288="None",0,G288)+IF(H288="Yes",CharacterSheet!$V$34,0))))</f>
        <v>1</v>
      </c>
      <c r="J288" s="57" t="s">
        <v>360</v>
      </c>
      <c r="K288" s="66">
        <f>IF(J288="no",0,IF(OR(F288="None",F288="Cheval",F288="Legend",F288="Mystery",F288="Prophecy",F288="TsukumoGami"),0,IF(F288="Varies","V",IF(AND(G288=0,CharacterSheet!$R$36="No"),0,IF(AND(G288=0,CharacterSheet!$R$36="Yes"),LOOKUP(D288,Reference!$N$2:$N$10,Reference!$O$2:$O$10),IF(G288&gt;0,LOOKUP(D288,Reference!$N$2:$N$10,Reference!$P$2:$P$10),"ERROR"))))))</f>
        <v>0</v>
      </c>
      <c r="L288" s="66" t="s">
        <v>361</v>
      </c>
      <c r="M288" s="66">
        <f>IF(E288="V","V",IF(J288="Yes",K288,0)+IF(L288="Yes",CharacterSheet!D452,0))</f>
        <v>0</v>
      </c>
      <c r="N288" s="66" t="s">
        <v>1076</v>
      </c>
      <c r="O288" s="66" t="s">
        <v>1726</v>
      </c>
      <c r="P288" s="66" t="s">
        <v>1068</v>
      </c>
      <c r="Q288" s="188">
        <v>245</v>
      </c>
    </row>
    <row r="289" spans="1:17" x14ac:dyDescent="0.25">
      <c r="A289" s="86" t="s">
        <v>1482</v>
      </c>
      <c r="B289" s="39" t="s">
        <v>196</v>
      </c>
      <c r="C289" s="39">
        <v>8</v>
      </c>
      <c r="D289" s="66" t="s">
        <v>19</v>
      </c>
      <c r="E289" s="66">
        <f>LOOKUP(D289,Reference!$B$33:$B$46,Reference!$C$33:$C$46)</f>
        <v>1</v>
      </c>
      <c r="F289" s="66" t="s">
        <v>47</v>
      </c>
      <c r="G289" s="66">
        <f>LOOKUP(F289,Reference!$D$32:$D$55,Reference!$E$32:$E$55)</f>
        <v>0</v>
      </c>
      <c r="H289" s="66" t="s">
        <v>361</v>
      </c>
      <c r="I289" s="57">
        <f>IF(OR(E289="V",G289="V"),"V",IF(AND(E289="None",G289="None"),"None",(IF(E289="None",0,E289)+IF(G289="None",0,G289)+IF(H289="Yes",CharacterSheet!$V$34,0))))</f>
        <v>1</v>
      </c>
      <c r="J289" s="57" t="s">
        <v>360</v>
      </c>
      <c r="K289" s="66">
        <f>IF(J289="no",0,IF(OR(F289="None",F289="Cheval",F289="Legend",F289="Mystery",F289="Prophecy",F289="TsukumoGami"),0,IF(F289="Varies","V",IF(AND(G289=0,CharacterSheet!$R$36="No"),0,IF(AND(G289=0,CharacterSheet!$R$36="Yes"),LOOKUP(D289,Reference!$N$2:$N$10,Reference!$O$2:$O$10),IF(G289&gt;0,LOOKUP(D289,Reference!$N$2:$N$10,Reference!$P$2:$P$10),"ERROR"))))))</f>
        <v>0</v>
      </c>
      <c r="L289" s="66" t="s">
        <v>361</v>
      </c>
      <c r="M289" s="66">
        <f>IF(E289="V","V",IF(J289="Yes",K289,0)+IF(L289="Yes",CharacterSheet!D351,0))</f>
        <v>0</v>
      </c>
      <c r="N289" s="66" t="s">
        <v>1716</v>
      </c>
      <c r="O289" s="66" t="s">
        <v>1731</v>
      </c>
      <c r="P289" s="66" t="s">
        <v>1068</v>
      </c>
      <c r="Q289" s="188">
        <v>246</v>
      </c>
    </row>
    <row r="290" spans="1:17" x14ac:dyDescent="0.25">
      <c r="A290" s="86" t="s">
        <v>1432</v>
      </c>
      <c r="B290" s="39" t="s">
        <v>381</v>
      </c>
      <c r="C290" s="39">
        <v>1</v>
      </c>
      <c r="D290" s="66" t="s">
        <v>508</v>
      </c>
      <c r="E290" s="66" t="str">
        <f>LOOKUP(D290,Reference!$B$33:$B$46,Reference!$C$33:$C$46)</f>
        <v>None</v>
      </c>
      <c r="F290" s="66" t="s">
        <v>508</v>
      </c>
      <c r="G290" s="66" t="str">
        <f>LOOKUP(F290,Reference!$D$32:$D$55,Reference!$E$32:$E$55)</f>
        <v>None</v>
      </c>
      <c r="H290" s="66" t="s">
        <v>361</v>
      </c>
      <c r="I290" s="57" t="str">
        <f>IF(OR(E290="V",G290="V"),"V",IF(AND(E290="None",G290="None"),"None",(IF(E290="None",0,E290)+IF(G290="None",0,G290)+IF(H290="Yes",CharacterSheet!$V$34,0))))</f>
        <v>None</v>
      </c>
      <c r="J290" s="57" t="s">
        <v>361</v>
      </c>
      <c r="K290" s="66">
        <f>IF(J290="no",0,IF(OR(F290="None",F290="Cheval",F290="Legend",F290="Mystery",F290="Prophecy",F290="TsukumoGami"),0,IF(F290="Varies","V",IF(AND(G290=0,CharacterSheet!$R$36="No"),0,IF(AND(G290=0,CharacterSheet!$R$36="Yes"),LOOKUP(D290,Reference!$N$2:$N$10,Reference!$O$2:$O$10),IF(G290&gt;0,LOOKUP(D290,Reference!$N$2:$N$10,Reference!$P$2:$P$10),"ERROR"))))))</f>
        <v>0</v>
      </c>
      <c r="L290" s="66" t="s">
        <v>361</v>
      </c>
      <c r="M290" s="66">
        <f>IF(E290="V","V",IF(J290="Yes",K290,0)+IF(L290="Yes",CharacterSheet!D299,0))</f>
        <v>0</v>
      </c>
      <c r="N290" s="66" t="s">
        <v>1072</v>
      </c>
      <c r="O290" s="66" t="s">
        <v>508</v>
      </c>
      <c r="P290" s="66" t="s">
        <v>1068</v>
      </c>
      <c r="Q290" s="188">
        <v>79</v>
      </c>
    </row>
    <row r="291" spans="1:17" x14ac:dyDescent="0.25">
      <c r="A291" s="86" t="s">
        <v>1456</v>
      </c>
      <c r="B291" s="39" t="s">
        <v>180</v>
      </c>
      <c r="C291" s="39">
        <v>3</v>
      </c>
      <c r="D291" s="66" t="s">
        <v>1086</v>
      </c>
      <c r="E291" s="66" t="str">
        <f>LOOKUP(D291,Reference!$B$33:$B$46,Reference!$C$33:$C$46)</f>
        <v>V</v>
      </c>
      <c r="F291" s="66" t="s">
        <v>1086</v>
      </c>
      <c r="G291" s="66" t="str">
        <f>LOOKUP(F291,Reference!$D$32:$D$55,Reference!$E$32:$E$55)</f>
        <v>V</v>
      </c>
      <c r="H291" s="66" t="s">
        <v>361</v>
      </c>
      <c r="I291" s="57" t="str">
        <f>IF(OR(E291="V",G291="V"),"V",IF(AND(E291="None",G291="None"),"None",(IF(E291="None",0,E291)+IF(G291="None",0,G291)+IF(H291="Yes",CharacterSheet!$V$34,0))))</f>
        <v>V</v>
      </c>
      <c r="J291" s="57" t="s">
        <v>360</v>
      </c>
      <c r="K291" s="66" t="str">
        <f>IF(J291="no",0,IF(OR(F291="None",F291="Cheval",F291="Legend",F291="Mystery",F291="Prophecy",F291="TsukumoGami"),0,IF(F291="Varies","V",IF(AND(G291=0,CharacterSheet!$R$36="No"),0,IF(AND(G291=0,CharacterSheet!$R$36="Yes"),LOOKUP(D291,Reference!$N$2:$N$10,Reference!$O$2:$O$10),IF(G291&gt;0,LOOKUP(D291,Reference!$N$2:$N$10,Reference!$P$2:$P$10),"ERROR"))))))</f>
        <v>V</v>
      </c>
      <c r="L291" s="66" t="s">
        <v>361</v>
      </c>
      <c r="M291" s="66" t="str">
        <f>IF(E291="V","V",IF(J291="Yes",K291,0)+IF(L291="Yes",CharacterSheet!D433,0))</f>
        <v>V</v>
      </c>
      <c r="N291" s="66" t="s">
        <v>1626</v>
      </c>
      <c r="O291" s="66" t="s">
        <v>1086</v>
      </c>
      <c r="P291" s="66" t="s">
        <v>1068</v>
      </c>
      <c r="Q291" s="188">
        <v>173</v>
      </c>
    </row>
    <row r="292" spans="1:17" x14ac:dyDescent="0.25">
      <c r="A292" s="86" t="s">
        <v>1396</v>
      </c>
      <c r="B292" s="39" t="s">
        <v>1366</v>
      </c>
      <c r="C292" s="39">
        <v>5</v>
      </c>
      <c r="D292" s="66" t="s">
        <v>508</v>
      </c>
      <c r="E292" s="66" t="str">
        <f>LOOKUP(D292,Reference!$B$33:$B$46,Reference!$C$33:$C$46)</f>
        <v>None</v>
      </c>
      <c r="F292" s="66" t="s">
        <v>508</v>
      </c>
      <c r="G292" s="66" t="str">
        <f>LOOKUP(F292,Reference!$D$32:$D$55,Reference!$E$32:$E$55)</f>
        <v>None</v>
      </c>
      <c r="H292" s="66" t="s">
        <v>361</v>
      </c>
      <c r="I292" s="57" t="str">
        <f>IF(OR(E292="V",G292="V"),"V",IF(AND(E292="None",G292="None"),"None",(IF(E292="None",0,E292)+IF(G292="None",0,G292)+IF(H292="Yes",CharacterSheet!$V$34,0))))</f>
        <v>None</v>
      </c>
      <c r="J292" s="57" t="s">
        <v>361</v>
      </c>
      <c r="K292" s="66">
        <f>IF(J292="no",0,IF(OR(F292="None",F292="Cheval",F292="Legend",F292="Mystery",F292="Prophecy",F292="TsukumoGami"),0,IF(F292="Varies","V",IF(AND(G292=0,CharacterSheet!$R$36="No"),0,IF(AND(G292=0,CharacterSheet!$R$36="Yes"),LOOKUP(D292,Reference!$N$2:$N$10,Reference!$O$2:$O$10),IF(G292&gt;0,LOOKUP(D292,Reference!$N$2:$N$10,Reference!$P$2:$P$10),"ERROR"))))))</f>
        <v>0</v>
      </c>
      <c r="L292" s="66" t="s">
        <v>361</v>
      </c>
      <c r="M292" s="66">
        <f>IF(E292="V","V",IF(J292="Yes",K292,0)+IF(L292="Yes",CharacterSheet!D395,0))</f>
        <v>0</v>
      </c>
      <c r="N292" s="66" t="s">
        <v>1076</v>
      </c>
      <c r="O292" s="66" t="s">
        <v>508</v>
      </c>
      <c r="P292" s="66" t="s">
        <v>1068</v>
      </c>
      <c r="Q292" s="188">
        <v>69</v>
      </c>
    </row>
    <row r="293" spans="1:17" x14ac:dyDescent="0.25">
      <c r="A293" s="86" t="s">
        <v>1283</v>
      </c>
      <c r="B293" s="39" t="s">
        <v>370</v>
      </c>
      <c r="C293" s="39">
        <v>9</v>
      </c>
      <c r="D293" s="66" t="s">
        <v>20</v>
      </c>
      <c r="E293" s="66">
        <f>LOOKUP(D293,Reference!$B$33:$B$46,Reference!$C$33:$C$46)</f>
        <v>1</v>
      </c>
      <c r="F293" s="66" t="s">
        <v>58</v>
      </c>
      <c r="G293" s="66">
        <f>LOOKUP(F293,Reference!$D$32:$D$55,Reference!$E$32:$E$55)</f>
        <v>0</v>
      </c>
      <c r="H293" s="66" t="s">
        <v>361</v>
      </c>
      <c r="I293" s="57">
        <f>IF(OR(E293="V",G293="V"),"V",IF(AND(E293="None",G293="None"),"None",(IF(E293="None",0,E293)+IF(G293="None",0,G293)+IF(H293="Yes",CharacterSheet!$V$34,0))))</f>
        <v>1</v>
      </c>
      <c r="J293" s="57" t="s">
        <v>360</v>
      </c>
      <c r="K293" s="66">
        <f>IF(J293="no",0,IF(OR(F293="None",F293="Cheval",F293="Legend",F293="Mystery",F293="Prophecy",F293="TsukumoGami"),0,IF(F293="Varies","V",IF(AND(G293=0,CharacterSheet!$R$36="No"),0,IF(AND(G293=0,CharacterSheet!$R$36="Yes"),LOOKUP(D293,Reference!$N$2:$N$10,Reference!$O$2:$O$10),IF(G293&gt;0,LOOKUP(D293,Reference!$N$2:$N$10,Reference!$P$2:$P$10),"ERROR"))))))</f>
        <v>0</v>
      </c>
      <c r="L293" s="66" t="s">
        <v>361</v>
      </c>
      <c r="M293" s="66">
        <f>IF(E293="V","V",IF(J293="Yes",K293,0)+IF(L293="Yes",CharacterSheet!D222,0))</f>
        <v>0</v>
      </c>
      <c r="N293" s="66" t="s">
        <v>1650</v>
      </c>
      <c r="O293" s="66" t="s">
        <v>1681</v>
      </c>
      <c r="P293" s="66" t="s">
        <v>5</v>
      </c>
      <c r="Q293" s="188">
        <v>87</v>
      </c>
    </row>
    <row r="294" spans="1:17" x14ac:dyDescent="0.25">
      <c r="A294" s="86" t="s">
        <v>1163</v>
      </c>
      <c r="B294" s="39" t="s">
        <v>384</v>
      </c>
      <c r="C294" s="39">
        <v>1</v>
      </c>
      <c r="D294" s="66" t="s">
        <v>20</v>
      </c>
      <c r="E294" s="66">
        <f>LOOKUP(D294,Reference!$B$33:$B$46,Reference!$C$33:$C$46)</f>
        <v>1</v>
      </c>
      <c r="F294" s="66" t="s">
        <v>384</v>
      </c>
      <c r="G294" s="66">
        <v>1</v>
      </c>
      <c r="H294" s="66" t="s">
        <v>361</v>
      </c>
      <c r="I294" s="57">
        <f>IF(OR(E294="V",G294="V"),"V",IF(AND(E294="None",G294="None"),"None",(IF(E294="None",0,E294)+IF(G294="None",0,G294)+IF(H294="Yes",CharacterSheet!$V$34,0))))</f>
        <v>2</v>
      </c>
      <c r="J294" s="57" t="s">
        <v>361</v>
      </c>
      <c r="K294" s="66">
        <f>IF(J294="no",0,IF(OR(F294="None",F294="Cheval",F294="Legend",F294="Mystery",F294="Prophecy",F294="TsukumoGami"),0,IF(F294="Varies","V",IF(AND(G294=0,CharacterSheet!$R$36="No"),0,IF(AND(G294=0,CharacterSheet!$R$36="Yes"),LOOKUP(D294,Reference!$N$2:$N$10,Reference!$O$2:$O$10),IF(G294&gt;0,LOOKUP(D294,Reference!$N$2:$N$10,Reference!$P$2:$P$10),"ERROR"))))))</f>
        <v>0</v>
      </c>
      <c r="L294" s="66" t="s">
        <v>361</v>
      </c>
      <c r="M294" s="66">
        <f>IF(E294="V","V",IF(J294="Yes",K294,0)+IF(L294="Yes",CharacterSheet!D179,0))</f>
        <v>0</v>
      </c>
      <c r="N294" s="66" t="s">
        <v>508</v>
      </c>
      <c r="O294" s="66" t="s">
        <v>1579</v>
      </c>
      <c r="P294" s="66" t="s">
        <v>141</v>
      </c>
      <c r="Q294" s="188">
        <v>156</v>
      </c>
    </row>
    <row r="295" spans="1:17" x14ac:dyDescent="0.25">
      <c r="A295" s="86" t="s">
        <v>1357</v>
      </c>
      <c r="B295" s="39" t="s">
        <v>384</v>
      </c>
      <c r="C295" s="39">
        <v>10</v>
      </c>
      <c r="D295" s="66" t="s">
        <v>20</v>
      </c>
      <c r="E295" s="66">
        <f>LOOKUP(D295,Reference!$B$33:$B$46,Reference!$C$33:$C$46)</f>
        <v>1</v>
      </c>
      <c r="F295" s="66" t="s">
        <v>384</v>
      </c>
      <c r="G295" s="66">
        <v>10</v>
      </c>
      <c r="H295" s="66" t="s">
        <v>361</v>
      </c>
      <c r="I295" s="57">
        <f>IF(OR(E295="V",G295="V"),"V",IF(AND(E295="None",G295="None"),"None",(IF(E295="None",0,E295)+IF(G295="None",0,G295)+IF(H295="Yes",CharacterSheet!$V$34,0))))</f>
        <v>11</v>
      </c>
      <c r="J295" s="57" t="s">
        <v>361</v>
      </c>
      <c r="K295" s="66">
        <f>IF(J295="no",0,IF(OR(F295="None",F295="Cheval",F295="Legend",F295="Mystery",F295="Prophecy",F295="TsukumoGami"),0,IF(F295="Varies","V",IF(AND(G295=0,CharacterSheet!$R$36="No"),0,IF(AND(G295=0,CharacterSheet!$R$36="Yes"),LOOKUP(D295,Reference!$N$2:$N$10,Reference!$O$2:$O$10),IF(G295&gt;0,LOOKUP(D295,Reference!$N$2:$N$10,Reference!$P$2:$P$10),"ERROR"))))))</f>
        <v>0</v>
      </c>
      <c r="L295" s="66" t="s">
        <v>361</v>
      </c>
      <c r="M295" s="66">
        <f>IF(E295="V","V",IF(J295="Yes",K295,0)+IF(L295="Yes",CharacterSheet!D324,0))</f>
        <v>0</v>
      </c>
      <c r="N295" s="66" t="s">
        <v>508</v>
      </c>
      <c r="O295" s="66" t="s">
        <v>1579</v>
      </c>
      <c r="P295" s="66" t="s">
        <v>5</v>
      </c>
      <c r="Q295" s="188">
        <v>111</v>
      </c>
    </row>
    <row r="296" spans="1:17" x14ac:dyDescent="0.25">
      <c r="A296" s="86" t="s">
        <v>1164</v>
      </c>
      <c r="B296" s="39" t="s">
        <v>384</v>
      </c>
      <c r="C296" s="39">
        <v>2</v>
      </c>
      <c r="D296" s="66" t="s">
        <v>20</v>
      </c>
      <c r="E296" s="66">
        <f>LOOKUP(D296,Reference!$B$33:$B$46,Reference!$C$33:$C$46)</f>
        <v>1</v>
      </c>
      <c r="F296" s="66" t="s">
        <v>384</v>
      </c>
      <c r="G296" s="66">
        <v>2</v>
      </c>
      <c r="H296" s="66" t="s">
        <v>361</v>
      </c>
      <c r="I296" s="57">
        <f>IF(OR(E296="V",G296="V"),"V",IF(AND(E296="None",G296="None"),"None",(IF(E296="None",0,E296)+IF(G296="None",0,G296)+IF(H296="Yes",CharacterSheet!$V$34,0))))</f>
        <v>3</v>
      </c>
      <c r="J296" s="57" t="s">
        <v>361</v>
      </c>
      <c r="K296" s="66">
        <f>IF(J296="no",0,IF(OR(F296="None",F296="Cheval",F296="Legend",F296="Mystery",F296="Prophecy",F296="TsukumoGami"),0,IF(F296="Varies","V",IF(AND(G296=0,CharacterSheet!$R$36="No"),0,IF(AND(G296=0,CharacterSheet!$R$36="Yes"),LOOKUP(D296,Reference!$N$2:$N$10,Reference!$O$2:$O$10),IF(G296&gt;0,LOOKUP(D296,Reference!$N$2:$N$10,Reference!$P$2:$P$10),"ERROR"))))))</f>
        <v>0</v>
      </c>
      <c r="L296" s="66" t="s">
        <v>361</v>
      </c>
      <c r="M296" s="66">
        <f>IF(E296="V","V",IF(J296="Yes",K296,0)+IF(L296="Yes",CharacterSheet!D196,0))</f>
        <v>0</v>
      </c>
      <c r="N296" s="66" t="s">
        <v>508</v>
      </c>
      <c r="O296" s="66" t="s">
        <v>1579</v>
      </c>
      <c r="P296" s="66" t="s">
        <v>141</v>
      </c>
      <c r="Q296" s="188">
        <v>156</v>
      </c>
    </row>
    <row r="297" spans="1:17" x14ac:dyDescent="0.25">
      <c r="A297" s="86" t="s">
        <v>1165</v>
      </c>
      <c r="B297" s="39" t="s">
        <v>384</v>
      </c>
      <c r="C297" s="39">
        <v>3</v>
      </c>
      <c r="D297" s="66" t="s">
        <v>20</v>
      </c>
      <c r="E297" s="66">
        <f>LOOKUP(D297,Reference!$B$33:$B$46,Reference!$C$33:$C$46)</f>
        <v>1</v>
      </c>
      <c r="F297" s="66" t="s">
        <v>384</v>
      </c>
      <c r="G297" s="66">
        <v>3</v>
      </c>
      <c r="H297" s="66" t="s">
        <v>361</v>
      </c>
      <c r="I297" s="57">
        <f>IF(OR(E297="V",G297="V"),"V",IF(AND(E297="None",G297="None"),"None",(IF(E297="None",0,E297)+IF(G297="None",0,G297)+IF(H297="Yes",CharacterSheet!$V$34,0))))</f>
        <v>4</v>
      </c>
      <c r="J297" s="57" t="s">
        <v>361</v>
      </c>
      <c r="K297" s="66">
        <f>IF(J297="no",0,IF(OR(F297="None",F297="Cheval",F297="Legend",F297="Mystery",F297="Prophecy",F297="TsukumoGami"),0,IF(F297="Varies","V",IF(AND(G297=0,CharacterSheet!$R$36="No"),0,IF(AND(G297=0,CharacterSheet!$R$36="Yes"),LOOKUP(D297,Reference!$N$2:$N$10,Reference!$O$2:$O$10),IF(G297&gt;0,LOOKUP(D297,Reference!$N$2:$N$10,Reference!$P$2:$P$10),"ERROR"))))))</f>
        <v>0</v>
      </c>
      <c r="L297" s="66" t="s">
        <v>361</v>
      </c>
      <c r="M297" s="66">
        <f>IF(E297="V","V",IF(J297="Yes",K297,0)+IF(L297="Yes",CharacterSheet!D376,0))</f>
        <v>0</v>
      </c>
      <c r="N297" s="66" t="s">
        <v>508</v>
      </c>
      <c r="O297" s="66" t="s">
        <v>1579</v>
      </c>
      <c r="P297" s="66" t="s">
        <v>141</v>
      </c>
      <c r="Q297" s="188">
        <v>156</v>
      </c>
    </row>
    <row r="298" spans="1:17" x14ac:dyDescent="0.25">
      <c r="A298" s="86" t="s">
        <v>1262</v>
      </c>
      <c r="B298" s="39" t="s">
        <v>384</v>
      </c>
      <c r="C298" s="39">
        <v>4</v>
      </c>
      <c r="D298" s="66" t="s">
        <v>20</v>
      </c>
      <c r="E298" s="66">
        <f>LOOKUP(D298,Reference!$B$33:$B$46,Reference!$C$33:$C$46)</f>
        <v>1</v>
      </c>
      <c r="F298" s="66" t="s">
        <v>384</v>
      </c>
      <c r="G298" s="66">
        <v>4</v>
      </c>
      <c r="H298" s="66" t="s">
        <v>361</v>
      </c>
      <c r="I298" s="57">
        <f>IF(OR(E298="V",G298="V"),"V",IF(AND(E298="None",G298="None"),"None",(IF(E298="None",0,E298)+IF(G298="None",0,G298)+IF(H298="Yes",CharacterSheet!$V$34,0))))</f>
        <v>5</v>
      </c>
      <c r="J298" s="57" t="s">
        <v>361</v>
      </c>
      <c r="K298" s="66">
        <f>IF(J298="no",0,IF(OR(F298="None",F298="Cheval",F298="Legend",F298="Mystery",F298="Prophecy",F298="TsukumoGami"),0,IF(F298="Varies","V",IF(AND(G298=0,CharacterSheet!$R$36="No"),0,IF(AND(G298=0,CharacterSheet!$R$36="Yes"),LOOKUP(D298,Reference!$N$2:$N$10,Reference!$O$2:$O$10),IF(G298&gt;0,LOOKUP(D298,Reference!$N$2:$N$10,Reference!$P$2:$P$10),"ERROR"))))))</f>
        <v>0</v>
      </c>
      <c r="L298" s="66" t="s">
        <v>361</v>
      </c>
      <c r="M298" s="66">
        <f>IF(E298="V","V",IF(J298="Yes",K298,0)+IF(L298="Yes",CharacterSheet!D375,0))</f>
        <v>0</v>
      </c>
      <c r="N298" s="66" t="s">
        <v>508</v>
      </c>
      <c r="O298" s="66" t="s">
        <v>1579</v>
      </c>
      <c r="P298" s="66" t="s">
        <v>1067</v>
      </c>
      <c r="Q298" s="188">
        <v>99</v>
      </c>
    </row>
    <row r="299" spans="1:17" x14ac:dyDescent="0.25">
      <c r="A299" s="86" t="s">
        <v>1263</v>
      </c>
      <c r="B299" s="39" t="s">
        <v>384</v>
      </c>
      <c r="C299" s="39">
        <v>5</v>
      </c>
      <c r="D299" s="66" t="s">
        <v>20</v>
      </c>
      <c r="E299" s="66">
        <f>LOOKUP(D299,Reference!$B$33:$B$46,Reference!$C$33:$C$46)</f>
        <v>1</v>
      </c>
      <c r="F299" s="66" t="s">
        <v>384</v>
      </c>
      <c r="G299" s="66">
        <v>5</v>
      </c>
      <c r="H299" s="66" t="s">
        <v>361</v>
      </c>
      <c r="I299" s="57">
        <f>IF(OR(E299="V",G299="V"),"V",IF(AND(E299="None",G299="None"),"None",(IF(E299="None",0,E299)+IF(G299="None",0,G299)+IF(H299="Yes",CharacterSheet!$V$34,0))))</f>
        <v>6</v>
      </c>
      <c r="J299" s="57" t="s">
        <v>361</v>
      </c>
      <c r="K299" s="66">
        <f>IF(J299="no",0,IF(OR(F299="None",F299="Cheval",F299="Legend",F299="Mystery",F299="Prophecy",F299="TsukumoGami"),0,IF(F299="Varies","V",IF(AND(G299=0,CharacterSheet!$R$36="No"),0,IF(AND(G299=0,CharacterSheet!$R$36="Yes"),LOOKUP(D299,Reference!$N$2:$N$10,Reference!$O$2:$O$10),IF(G299&gt;0,LOOKUP(D299,Reference!$N$2:$N$10,Reference!$P$2:$P$10),"ERROR"))))))</f>
        <v>0</v>
      </c>
      <c r="L299" s="66" t="s">
        <v>361</v>
      </c>
      <c r="M299" s="66">
        <f>IF(E299="V","V",IF(J299="Yes",K299,0)+IF(L299="Yes",CharacterSheet!D161,0))</f>
        <v>0</v>
      </c>
      <c r="N299" s="66" t="s">
        <v>508</v>
      </c>
      <c r="O299" s="66" t="s">
        <v>1579</v>
      </c>
      <c r="P299" s="66" t="s">
        <v>1067</v>
      </c>
      <c r="Q299" s="188">
        <v>99</v>
      </c>
    </row>
    <row r="300" spans="1:17" x14ac:dyDescent="0.25">
      <c r="A300" s="86" t="s">
        <v>1264</v>
      </c>
      <c r="B300" s="39" t="s">
        <v>384</v>
      </c>
      <c r="C300" s="39">
        <v>6</v>
      </c>
      <c r="D300" s="66" t="s">
        <v>20</v>
      </c>
      <c r="E300" s="66">
        <f>LOOKUP(D300,Reference!$B$33:$B$46,Reference!$C$33:$C$46)</f>
        <v>1</v>
      </c>
      <c r="F300" s="66" t="s">
        <v>384</v>
      </c>
      <c r="G300" s="66">
        <v>6</v>
      </c>
      <c r="H300" s="66" t="s">
        <v>361</v>
      </c>
      <c r="I300" s="57">
        <f>IF(OR(E300="V",G300="V"),"V",IF(AND(E300="None",G300="None"),"None",(IF(E300="None",0,E300)+IF(G300="None",0,G300)+IF(H300="Yes",CharacterSheet!$V$34,0))))</f>
        <v>7</v>
      </c>
      <c r="J300" s="57" t="s">
        <v>361</v>
      </c>
      <c r="K300" s="66">
        <f>IF(J300="no",0,IF(OR(F300="None",F300="Cheval",F300="Legend",F300="Mystery",F300="Prophecy",F300="TsukumoGami"),0,IF(F300="Varies","V",IF(AND(G300=0,CharacterSheet!$R$36="No"),0,IF(AND(G300=0,CharacterSheet!$R$36="Yes"),LOOKUP(D300,Reference!$N$2:$N$10,Reference!$O$2:$O$10),IF(G300&gt;0,LOOKUP(D300,Reference!$N$2:$N$10,Reference!$P$2:$P$10),"ERROR"))))))</f>
        <v>0</v>
      </c>
      <c r="L300" s="66" t="s">
        <v>361</v>
      </c>
      <c r="M300" s="66">
        <f>IF(E300="V","V",IF(J300="Yes",K300,0)+IF(L300="Yes",CharacterSheet!D142,0))</f>
        <v>0</v>
      </c>
      <c r="N300" s="66" t="s">
        <v>508</v>
      </c>
      <c r="O300" s="66" t="s">
        <v>1579</v>
      </c>
      <c r="P300" s="66" t="s">
        <v>1067</v>
      </c>
      <c r="Q300" s="188">
        <v>99</v>
      </c>
    </row>
    <row r="301" spans="1:17" x14ac:dyDescent="0.25">
      <c r="A301" s="86" t="s">
        <v>1265</v>
      </c>
      <c r="B301" s="39" t="s">
        <v>384</v>
      </c>
      <c r="C301" s="39">
        <v>7</v>
      </c>
      <c r="D301" s="66" t="s">
        <v>20</v>
      </c>
      <c r="E301" s="66">
        <f>LOOKUP(D301,Reference!$B$33:$B$46,Reference!$C$33:$C$46)</f>
        <v>1</v>
      </c>
      <c r="F301" s="66" t="s">
        <v>384</v>
      </c>
      <c r="G301" s="66">
        <v>7</v>
      </c>
      <c r="H301" s="66" t="s">
        <v>361</v>
      </c>
      <c r="I301" s="57">
        <f>IF(OR(E301="V",G301="V"),"V",IF(AND(E301="None",G301="None"),"None",(IF(E301="None",0,E301)+IF(G301="None",0,G301)+IF(H301="Yes",CharacterSheet!$V$34,0))))</f>
        <v>8</v>
      </c>
      <c r="J301" s="57" t="s">
        <v>361</v>
      </c>
      <c r="K301" s="66">
        <f>IF(J301="no",0,IF(OR(F301="None",F301="Cheval",F301="Legend",F301="Mystery",F301="Prophecy",F301="TsukumoGami"),0,IF(F301="Varies","V",IF(AND(G301=0,CharacterSheet!$R$36="No"),0,IF(AND(G301=0,CharacterSheet!$R$36="Yes"),LOOKUP(D301,Reference!$N$2:$N$10,Reference!$O$2:$O$10),IF(G301&gt;0,LOOKUP(D301,Reference!$N$2:$N$10,Reference!$P$2:$P$10),"ERROR"))))))</f>
        <v>0</v>
      </c>
      <c r="L301" s="66" t="s">
        <v>361</v>
      </c>
      <c r="M301" s="66">
        <f>IF(E301="V","V",IF(J301="Yes",K301,0)+IF(L301="Yes",CharacterSheet!D391,0))</f>
        <v>0</v>
      </c>
      <c r="N301" s="66" t="s">
        <v>508</v>
      </c>
      <c r="O301" s="66" t="s">
        <v>1579</v>
      </c>
      <c r="P301" s="66" t="s">
        <v>1067</v>
      </c>
      <c r="Q301" s="188">
        <v>99</v>
      </c>
    </row>
    <row r="302" spans="1:17" x14ac:dyDescent="0.25">
      <c r="A302" s="86" t="s">
        <v>1355</v>
      </c>
      <c r="B302" s="39" t="s">
        <v>384</v>
      </c>
      <c r="C302" s="39">
        <v>8</v>
      </c>
      <c r="D302" s="66" t="s">
        <v>20</v>
      </c>
      <c r="E302" s="66">
        <f>LOOKUP(D302,Reference!$B$33:$B$46,Reference!$C$33:$C$46)</f>
        <v>1</v>
      </c>
      <c r="F302" s="66" t="s">
        <v>384</v>
      </c>
      <c r="G302" s="66">
        <v>8</v>
      </c>
      <c r="H302" s="66" t="s">
        <v>361</v>
      </c>
      <c r="I302" s="57">
        <f>IF(OR(E302="V",G302="V"),"V",IF(AND(E302="None",G302="None"),"None",(IF(E302="None",0,E302)+IF(G302="None",0,G302)+IF(H302="Yes",CharacterSheet!$V$34,0))))</f>
        <v>9</v>
      </c>
      <c r="J302" s="57" t="s">
        <v>361</v>
      </c>
      <c r="K302" s="66">
        <f>IF(J302="no",0,IF(OR(F302="None",F302="Cheval",F302="Legend",F302="Mystery",F302="Prophecy",F302="TsukumoGami"),0,IF(F302="Varies","V",IF(AND(G302=0,CharacterSheet!$R$36="No"),0,IF(AND(G302=0,CharacterSheet!$R$36="Yes"),LOOKUP(D302,Reference!$N$2:$N$10,Reference!$O$2:$O$10),IF(G302&gt;0,LOOKUP(D302,Reference!$N$2:$N$10,Reference!$P$2:$P$10),"ERROR"))))))</f>
        <v>0</v>
      </c>
      <c r="L302" s="66" t="s">
        <v>361</v>
      </c>
      <c r="M302" s="66">
        <f>IF(E302="V","V",IF(J302="Yes",K302,0)+IF(L302="Yes",CharacterSheet!D241,0))</f>
        <v>0</v>
      </c>
      <c r="N302" s="66" t="s">
        <v>508</v>
      </c>
      <c r="O302" s="66" t="s">
        <v>1579</v>
      </c>
      <c r="P302" s="66" t="s">
        <v>5</v>
      </c>
      <c r="Q302" s="188">
        <v>111</v>
      </c>
    </row>
    <row r="303" spans="1:17" x14ac:dyDescent="0.25">
      <c r="A303" s="86" t="s">
        <v>1356</v>
      </c>
      <c r="B303" s="39" t="s">
        <v>384</v>
      </c>
      <c r="C303" s="39">
        <v>9</v>
      </c>
      <c r="D303" s="66" t="s">
        <v>20</v>
      </c>
      <c r="E303" s="66">
        <f>LOOKUP(D303,Reference!$B$33:$B$46,Reference!$C$33:$C$46)</f>
        <v>1</v>
      </c>
      <c r="F303" s="66" t="s">
        <v>384</v>
      </c>
      <c r="G303" s="66">
        <v>9</v>
      </c>
      <c r="H303" s="66" t="s">
        <v>361</v>
      </c>
      <c r="I303" s="57">
        <f>IF(OR(E303="V",G303="V"),"V",IF(AND(E303="None",G303="None"),"None",(IF(E303="None",0,E303)+IF(G303="None",0,G303)+IF(H303="Yes",CharacterSheet!$V$34,0))))</f>
        <v>10</v>
      </c>
      <c r="J303" s="57" t="s">
        <v>361</v>
      </c>
      <c r="K303" s="66">
        <f>IF(J303="no",0,IF(OR(F303="None",F303="Cheval",F303="Legend",F303="Mystery",F303="Prophecy",F303="TsukumoGami"),0,IF(F303="Varies","V",IF(AND(G303=0,CharacterSheet!$R$36="No"),0,IF(AND(G303=0,CharacterSheet!$R$36="Yes"),LOOKUP(D303,Reference!$N$2:$N$10,Reference!$O$2:$O$10),IF(G303&gt;0,LOOKUP(D303,Reference!$N$2:$N$10,Reference!$P$2:$P$10),"ERROR"))))))</f>
        <v>0</v>
      </c>
      <c r="L303" s="66" t="s">
        <v>361</v>
      </c>
      <c r="M303" s="66">
        <f>IF(E303="V","V",IF(J303="Yes",K303,0)+IF(L303="Yes",CharacterSheet!D327,0))</f>
        <v>0</v>
      </c>
      <c r="N303" s="66" t="s">
        <v>508</v>
      </c>
      <c r="O303" s="66" t="s">
        <v>1579</v>
      </c>
      <c r="P303" s="66" t="s">
        <v>5</v>
      </c>
      <c r="Q303" s="188">
        <v>111</v>
      </c>
    </row>
    <row r="304" spans="1:17" x14ac:dyDescent="0.25">
      <c r="A304" s="86" t="s">
        <v>1268</v>
      </c>
      <c r="B304" s="39" t="s">
        <v>366</v>
      </c>
      <c r="C304" s="39">
        <v>10</v>
      </c>
      <c r="D304" s="66" t="s">
        <v>508</v>
      </c>
      <c r="E304" s="66" t="str">
        <f>LOOKUP(D304,Reference!$B$33:$B$46,Reference!$C$33:$C$46)</f>
        <v>None</v>
      </c>
      <c r="F304" s="66" t="s">
        <v>508</v>
      </c>
      <c r="G304" s="66" t="str">
        <f>LOOKUP(F304,Reference!$D$32:$D$55,Reference!$E$32:$E$55)</f>
        <v>None</v>
      </c>
      <c r="H304" s="66" t="s">
        <v>361</v>
      </c>
      <c r="I304" s="57" t="str">
        <f>IF(OR(E304="V",G304="V"),"V",IF(AND(E304="None",G304="None"),"None",(IF(E304="None",0,E304)+IF(G304="None",0,G304)+IF(H304="Yes",CharacterSheet!$V$34,0))))</f>
        <v>None</v>
      </c>
      <c r="J304" s="57" t="s">
        <v>361</v>
      </c>
      <c r="K304" s="66">
        <f>IF(J304="no",0,IF(OR(F304="None",F304="Cheval",F304="Legend",F304="Mystery",F304="Prophecy",F304="TsukumoGami"),0,IF(F304="Varies","V",IF(AND(G304=0,CharacterSheet!$R$36="No"),0,IF(AND(G304=0,CharacterSheet!$R$36="Yes"),LOOKUP(D304,Reference!$N$2:$N$10,Reference!$O$2:$O$10),IF(G304&gt;0,LOOKUP(D304,Reference!$N$2:$N$10,Reference!$P$2:$P$10),"ERROR"))))))</f>
        <v>0</v>
      </c>
      <c r="L304" s="66" t="s">
        <v>361</v>
      </c>
      <c r="M304" s="66">
        <f>IF(E304="V","V",IF(J304="Yes",K304,0)+IF(L304="Yes",CharacterSheet!D171,0))</f>
        <v>0</v>
      </c>
      <c r="N304" s="66" t="s">
        <v>1799</v>
      </c>
      <c r="O304" s="66" t="s">
        <v>1799</v>
      </c>
      <c r="P304" s="66" t="s">
        <v>5</v>
      </c>
      <c r="Q304" s="188">
        <v>82</v>
      </c>
    </row>
    <row r="305" spans="1:17" x14ac:dyDescent="0.25">
      <c r="A305" s="86" t="s">
        <v>1205</v>
      </c>
      <c r="B305" s="39" t="s">
        <v>374</v>
      </c>
      <c r="C305" s="39">
        <v>7</v>
      </c>
      <c r="D305" s="66" t="s">
        <v>20</v>
      </c>
      <c r="E305" s="66">
        <f>LOOKUP(D305,Reference!$B$33:$B$46,Reference!$C$33:$C$46)</f>
        <v>1</v>
      </c>
      <c r="F305" s="66" t="s">
        <v>41</v>
      </c>
      <c r="G305" s="66">
        <f>LOOKUP(F305,Reference!$D$32:$D$55,Reference!$E$32:$E$55)</f>
        <v>0</v>
      </c>
      <c r="H305" s="66" t="s">
        <v>361</v>
      </c>
      <c r="I305" s="57">
        <f>IF(OR(E305="V",G305="V"),"V",IF(AND(E305="None",G305="None"),"None",(IF(E305="None",0,E305)+IF(G305="None",0,G305)+IF(H305="Yes",CharacterSheet!$V$34,0))))</f>
        <v>1</v>
      </c>
      <c r="J305" s="57" t="s">
        <v>360</v>
      </c>
      <c r="K305" s="66">
        <f>IF(J305="no",0,IF(OR(F305="None",F305="Cheval",F305="Legend",F305="Mystery",F305="Prophecy",F305="TsukumoGami"),0,IF(F305="Varies","V",IF(AND(G305=0,CharacterSheet!$R$36="No"),0,IF(AND(G305=0,CharacterSheet!$R$36="Yes"),LOOKUP(D305,Reference!$N$2:$N$10,Reference!$O$2:$O$10),IF(G305&gt;0,LOOKUP(D305,Reference!$N$2:$N$10,Reference!$P$2:$P$10),"ERROR"))))))</f>
        <v>0</v>
      </c>
      <c r="L305" s="66" t="s">
        <v>361</v>
      </c>
      <c r="M305" s="66">
        <f>IF(E305="V","V",IF(J305="Yes",K305,0)+IF(L305="Yes",CharacterSheet!D99,0))</f>
        <v>0</v>
      </c>
      <c r="N305" s="66" t="s">
        <v>1077</v>
      </c>
      <c r="O305" s="66" t="s">
        <v>1609</v>
      </c>
      <c r="P305" s="66" t="s">
        <v>1067</v>
      </c>
      <c r="Q305" s="188">
        <v>83</v>
      </c>
    </row>
    <row r="306" spans="1:17" x14ac:dyDescent="0.25">
      <c r="A306" s="86" t="s">
        <v>1325</v>
      </c>
      <c r="B306" s="39" t="s">
        <v>381</v>
      </c>
      <c r="C306" s="39">
        <v>8</v>
      </c>
      <c r="D306" s="66" t="s">
        <v>14</v>
      </c>
      <c r="E306" s="66">
        <f>LOOKUP(D306,Reference!$B$33:$B$46,Reference!$C$33:$C$46)</f>
        <v>1</v>
      </c>
      <c r="F306" s="66" t="s">
        <v>47</v>
      </c>
      <c r="G306" s="66">
        <f>LOOKUP(F306,Reference!$D$32:$D$55,Reference!$E$32:$E$55)</f>
        <v>0</v>
      </c>
      <c r="H306" s="66" t="s">
        <v>361</v>
      </c>
      <c r="I306" s="57">
        <f>IF(OR(E306="V",G306="V"),"V",IF(AND(E306="None",G306="None"),"None",(IF(E306="None",0,E306)+IF(G306="None",0,G306)+IF(H306="Yes",CharacterSheet!$V$34,0))))</f>
        <v>1</v>
      </c>
      <c r="J306" s="57" t="s">
        <v>360</v>
      </c>
      <c r="K306" s="66">
        <f>IF(J306="no",0,IF(OR(F306="None",F306="Cheval",F306="Legend",F306="Mystery",F306="Prophecy",F306="TsukumoGami"),0,IF(F306="Varies","V",IF(AND(G306=0,CharacterSheet!$R$36="No"),0,IF(AND(G306=0,CharacterSheet!$R$36="Yes"),LOOKUP(D306,Reference!$N$2:$N$10,Reference!$O$2:$O$10),IF(G306&gt;0,LOOKUP(D306,Reference!$N$2:$N$10,Reference!$P$2:$P$10),"ERROR"))))))</f>
        <v>0</v>
      </c>
      <c r="L306" s="66" t="s">
        <v>361</v>
      </c>
      <c r="M306" s="66">
        <f>IF(E306="V","V",IF(J306="Yes",K306,0)+IF(L306="Yes",CharacterSheet!D78,0))</f>
        <v>0</v>
      </c>
      <c r="N306" s="66" t="s">
        <v>1631</v>
      </c>
      <c r="O306" s="66" t="s">
        <v>1554</v>
      </c>
      <c r="P306" s="66" t="s">
        <v>5</v>
      </c>
      <c r="Q306" s="188">
        <v>103</v>
      </c>
    </row>
    <row r="307" spans="1:17" x14ac:dyDescent="0.25">
      <c r="A307" s="86" t="s">
        <v>1448</v>
      </c>
      <c r="B307" s="39" t="s">
        <v>177</v>
      </c>
      <c r="C307" s="39">
        <v>5</v>
      </c>
      <c r="D307" s="66" t="s">
        <v>508</v>
      </c>
      <c r="E307" s="66" t="str">
        <f>LOOKUP(D307,Reference!$B$33:$B$46,Reference!$C$33:$C$46)</f>
        <v>None</v>
      </c>
      <c r="F307" s="66" t="s">
        <v>508</v>
      </c>
      <c r="G307" s="66" t="str">
        <f>LOOKUP(F307,Reference!$D$32:$D$55,Reference!$E$32:$E$55)</f>
        <v>None</v>
      </c>
      <c r="H307" s="66" t="s">
        <v>361</v>
      </c>
      <c r="I307" s="57" t="str">
        <f>IF(OR(E307="V",G307="V"),"V",IF(AND(E307="None",G307="None"),"None",(IF(E307="None",0,E307)+IF(G307="None",0,G307)+IF(H307="Yes",CharacterSheet!$V$34,0))))</f>
        <v>None</v>
      </c>
      <c r="J307" s="57" t="s">
        <v>361</v>
      </c>
      <c r="K307" s="66">
        <f>IF(J307="no",0,IF(OR(F307="None",F307="Cheval",F307="Legend",F307="Mystery",F307="Prophecy",F307="TsukumoGami"),0,IF(F307="Varies","V",IF(AND(G307=0,CharacterSheet!$R$36="No"),0,IF(AND(G307=0,CharacterSheet!$R$36="Yes"),LOOKUP(D307,Reference!$N$2:$N$10,Reference!$O$2:$O$10),IF(G307&gt;0,LOOKUP(D307,Reference!$N$2:$N$10,Reference!$P$2:$P$10),"ERROR"))))))</f>
        <v>0</v>
      </c>
      <c r="L307" s="66" t="s">
        <v>361</v>
      </c>
      <c r="M307" s="66">
        <f>IF(E307="V","V",IF(J307="Yes",K307,0)+IF(L307="Yes",CharacterSheet!D55,0))</f>
        <v>0</v>
      </c>
      <c r="N307" s="66" t="s">
        <v>1716</v>
      </c>
      <c r="O307" s="66" t="s">
        <v>688</v>
      </c>
      <c r="P307" s="66" t="s">
        <v>1068</v>
      </c>
      <c r="Q307" s="188">
        <v>97</v>
      </c>
    </row>
    <row r="308" spans="1:17" x14ac:dyDescent="0.25">
      <c r="A308" s="86" t="s">
        <v>1138</v>
      </c>
      <c r="B308" s="39" t="s">
        <v>185</v>
      </c>
      <c r="C308" s="39">
        <v>1</v>
      </c>
      <c r="D308" s="66" t="s">
        <v>19</v>
      </c>
      <c r="E308" s="66">
        <f>LOOKUP(D308,Reference!$B$33:$B$46,Reference!$C$33:$C$46)</f>
        <v>1</v>
      </c>
      <c r="F308" s="66" t="s">
        <v>41</v>
      </c>
      <c r="G308" s="66">
        <f>LOOKUP(F308,Reference!$D$32:$D$55,Reference!$E$32:$E$55)</f>
        <v>0</v>
      </c>
      <c r="H308" s="66" t="s">
        <v>361</v>
      </c>
      <c r="I308" s="57">
        <f>IF(OR(E308="V",G308="V"),"V",IF(AND(E308="None",G308="None"),"None",(IF(E308="None",0,E308)+IF(G308="None",0,G308)+IF(H308="Yes",CharacterSheet!$V$34,0))))</f>
        <v>1</v>
      </c>
      <c r="J308" s="57" t="s">
        <v>360</v>
      </c>
      <c r="K308" s="66">
        <f>IF(J308="no",0,IF(OR(F308="None",F308="Cheval",F308="Legend",F308="Mystery",F308="Prophecy",F308="TsukumoGami"),0,IF(F308="Varies","V",IF(AND(G308=0,CharacterSheet!$R$36="No"),0,IF(AND(G308=0,CharacterSheet!$R$36="Yes"),LOOKUP(D308,Reference!$N$2:$N$10,Reference!$O$2:$O$10),IF(G308&gt;0,LOOKUP(D308,Reference!$N$2:$N$10,Reference!$P$2:$P$10),"ERROR"))))))</f>
        <v>0</v>
      </c>
      <c r="L308" s="66" t="s">
        <v>361</v>
      </c>
      <c r="M308" s="66">
        <f>IF(E308="V","V",IF(J308="Yes",K308,0)+IF(L308="Yes",CharacterSheet!D202,0))</f>
        <v>0</v>
      </c>
      <c r="N308" s="66" t="s">
        <v>1072</v>
      </c>
      <c r="O308" s="66" t="s">
        <v>1548</v>
      </c>
      <c r="P308" s="66" t="s">
        <v>141</v>
      </c>
      <c r="Q308" s="188">
        <v>150</v>
      </c>
    </row>
    <row r="309" spans="1:17" x14ac:dyDescent="0.25">
      <c r="A309" s="86" t="s">
        <v>1292</v>
      </c>
      <c r="B309" s="39" t="s">
        <v>372</v>
      </c>
      <c r="C309" s="39">
        <v>10</v>
      </c>
      <c r="D309" s="66" t="s">
        <v>16</v>
      </c>
      <c r="E309" s="66">
        <f>LOOKUP(D309,Reference!$B$33:$B$46,Reference!$C$33:$C$46)</f>
        <v>1</v>
      </c>
      <c r="F309" s="66" t="s">
        <v>53</v>
      </c>
      <c r="G309" s="66">
        <f>LOOKUP(F309,Reference!$D$32:$D$55,Reference!$E$32:$E$55)</f>
        <v>0</v>
      </c>
      <c r="H309" s="66" t="s">
        <v>361</v>
      </c>
      <c r="I309" s="57">
        <f>IF(OR(E309="V",G309="V"),"V",IF(AND(E309="None",G309="None"),"None",(IF(E309="None",0,E309)+IF(G309="None",0,G309)+IF(H309="Yes",CharacterSheet!$V$34,0))))</f>
        <v>1</v>
      </c>
      <c r="J309" s="57" t="s">
        <v>360</v>
      </c>
      <c r="K309" s="66">
        <f>IF(J309="no",0,IF(OR(F309="None",F309="Cheval",F309="Legend",F309="Mystery",F309="Prophecy",F309="TsukumoGami"),0,IF(F309="Varies","V",IF(AND(G309=0,CharacterSheet!$R$36="No"),0,IF(AND(G309=0,CharacterSheet!$R$36="Yes"),LOOKUP(D309,Reference!$N$2:$N$10,Reference!$O$2:$O$10),IF(G309&gt;0,LOOKUP(D309,Reference!$N$2:$N$10,Reference!$P$2:$P$10),"ERROR"))))))</f>
        <v>0</v>
      </c>
      <c r="L309" s="66" t="s">
        <v>361</v>
      </c>
      <c r="M309" s="66">
        <f>IF(E309="V","V",IF(J309="Yes",K309,0)+IF(L309="Yes",CharacterSheet!D217,0))</f>
        <v>0</v>
      </c>
      <c r="N309" s="66" t="s">
        <v>1652</v>
      </c>
      <c r="O309" s="66" t="s">
        <v>1682</v>
      </c>
      <c r="P309" s="66" t="s">
        <v>5</v>
      </c>
      <c r="Q309" s="188">
        <v>90</v>
      </c>
    </row>
    <row r="310" spans="1:17" x14ac:dyDescent="0.25">
      <c r="A310" s="86" t="s">
        <v>1213</v>
      </c>
      <c r="B310" s="39" t="s">
        <v>376</v>
      </c>
      <c r="C310" s="39">
        <v>7</v>
      </c>
      <c r="D310" s="66" t="s">
        <v>20</v>
      </c>
      <c r="E310" s="66">
        <f>LOOKUP(D310,Reference!$B$33:$B$46,Reference!$C$33:$C$46)</f>
        <v>1</v>
      </c>
      <c r="F310" s="66" t="s">
        <v>38</v>
      </c>
      <c r="G310" s="66">
        <f>LOOKUP(F310,Reference!$D$32:$D$55,Reference!$E$32:$E$55)</f>
        <v>0</v>
      </c>
      <c r="H310" s="66" t="s">
        <v>361</v>
      </c>
      <c r="I310" s="57">
        <f>IF(OR(E310="V",G310="V"),"V",IF(AND(E310="None",G310="None"),"None",(IF(E310="None",0,E310)+IF(G310="None",0,G310)+IF(H310="Yes",CharacterSheet!$V$34,0))))</f>
        <v>1</v>
      </c>
      <c r="J310" s="57" t="s">
        <v>360</v>
      </c>
      <c r="K310" s="66">
        <f>IF(J310="no",0,IF(OR(F310="None",F310="Cheval",F310="Legend",F310="Mystery",F310="Prophecy",F310="TsukumoGami"),0,IF(F310="Varies","V",IF(AND(G310=0,CharacterSheet!$R$36="No"),0,IF(AND(G310=0,CharacterSheet!$R$36="Yes"),LOOKUP(D310,Reference!$N$2:$N$10,Reference!$O$2:$O$10),IF(G310&gt;0,LOOKUP(D310,Reference!$N$2:$N$10,Reference!$P$2:$P$10),"ERROR"))))))</f>
        <v>0</v>
      </c>
      <c r="L310" s="66" t="s">
        <v>361</v>
      </c>
      <c r="M310" s="66">
        <f>IF(E310="V","V",IF(J310="Yes",K310,0)+IF(L310="Yes",CharacterSheet!D128,0))</f>
        <v>0</v>
      </c>
      <c r="N310" s="66" t="s">
        <v>1586</v>
      </c>
      <c r="O310" s="66" t="s">
        <v>1544</v>
      </c>
      <c r="P310" s="66" t="s">
        <v>1067</v>
      </c>
      <c r="Q310" s="188">
        <v>86</v>
      </c>
    </row>
    <row r="311" spans="1:17" x14ac:dyDescent="0.25">
      <c r="A311" s="86" t="s">
        <v>1338</v>
      </c>
      <c r="B311" s="39" t="s">
        <v>174</v>
      </c>
      <c r="C311" s="39">
        <v>8</v>
      </c>
      <c r="D311" s="66" t="s">
        <v>16</v>
      </c>
      <c r="E311" s="66">
        <f>LOOKUP(D311,Reference!$B$33:$B$46,Reference!$C$33:$C$46)</f>
        <v>1</v>
      </c>
      <c r="F311" s="66" t="s">
        <v>60</v>
      </c>
      <c r="G311" s="66">
        <f>LOOKUP(F311,Reference!$D$32:$D$55,Reference!$E$32:$E$55)</f>
        <v>0</v>
      </c>
      <c r="H311" s="66" t="s">
        <v>360</v>
      </c>
      <c r="I311" s="57">
        <f>IF(OR(E311="V",G311="V"),"V",IF(AND(E311="None",G311="None"),"None",(IF(E311="None",0,E311)+IF(G311="None",0,G311)+IF(H311="Yes",CharacterSheet!$V$34,0))))</f>
        <v>3</v>
      </c>
      <c r="J311" s="57" t="s">
        <v>360</v>
      </c>
      <c r="K311" s="66">
        <f>IF(J311="no",0,IF(OR(F311="None",F311="Cheval",F311="Legend",F311="Mystery",F311="Prophecy",F311="TsukumoGami"),0,IF(F311="Varies","V",IF(AND(G311=0,CharacterSheet!$R$36="No"),0,IF(AND(G311=0,CharacterSheet!$R$36="Yes"),LOOKUP(D311,Reference!$N$2:$N$10,Reference!$O$2:$O$10),IF(G311&gt;0,LOOKUP(D311,Reference!$N$2:$N$10,Reference!$P$2:$P$10),"ERROR"))))))</f>
        <v>0</v>
      </c>
      <c r="L311" s="66" t="s">
        <v>361</v>
      </c>
      <c r="M311" s="66">
        <f>IF(E311="V","V",IF(J311="Yes",K311,0)+IF(L311="Yes",CharacterSheet!D85,0))</f>
        <v>0</v>
      </c>
      <c r="N311" s="66" t="s">
        <v>1624</v>
      </c>
      <c r="O311" s="66" t="s">
        <v>1688</v>
      </c>
      <c r="P311" s="66" t="s">
        <v>5</v>
      </c>
      <c r="Q311" s="188">
        <v>107</v>
      </c>
    </row>
    <row r="312" spans="1:17" x14ac:dyDescent="0.25">
      <c r="A312" s="86" t="s">
        <v>1171</v>
      </c>
      <c r="B312" s="39" t="s">
        <v>367</v>
      </c>
      <c r="C312" s="39">
        <v>5</v>
      </c>
      <c r="D312" s="66" t="s">
        <v>21</v>
      </c>
      <c r="E312" s="66">
        <f>LOOKUP(D312,Reference!$B$33:$B$46,Reference!$C$33:$C$46)</f>
        <v>1</v>
      </c>
      <c r="F312" s="66" t="s">
        <v>41</v>
      </c>
      <c r="G312" s="66">
        <f>LOOKUP(F312,Reference!$D$32:$D$55,Reference!$E$32:$E$55)</f>
        <v>0</v>
      </c>
      <c r="H312" s="66" t="s">
        <v>361</v>
      </c>
      <c r="I312" s="57">
        <f>IF(OR(E312="V",G312="V"),"V",IF(AND(E312="None",G312="None"),"None",(IF(E312="None",0,E312)+IF(G312="None",0,G312)+IF(H312="Yes",CharacterSheet!$V$34,0))))</f>
        <v>1</v>
      </c>
      <c r="J312" s="57" t="s">
        <v>360</v>
      </c>
      <c r="K312" s="66">
        <f>IF(J312="no",0,IF(OR(F312="None",F312="Cheval",F312="Legend",F312="Mystery",F312="Prophecy",F312="TsukumoGami"),0,IF(F312="Varies","V",IF(AND(G312=0,CharacterSheet!$R$36="No"),0,IF(AND(G312=0,CharacterSheet!$R$36="Yes"),LOOKUP(D312,Reference!$N$2:$N$10,Reference!$O$2:$O$10),IF(G312&gt;0,LOOKUP(D312,Reference!$N$2:$N$10,Reference!$P$2:$P$10),"ERROR"))))))</f>
        <v>0</v>
      </c>
      <c r="L312" s="66" t="s">
        <v>361</v>
      </c>
      <c r="M312" s="66">
        <f>IF(E312="V","V",IF(J312="Yes",K312,0)+IF(L312="Yes",CharacterSheet!D141,0))</f>
        <v>0</v>
      </c>
      <c r="N312" s="66" t="s">
        <v>1580</v>
      </c>
      <c r="O312" s="66" t="s">
        <v>1545</v>
      </c>
      <c r="P312" s="66" t="s">
        <v>1067</v>
      </c>
      <c r="Q312" s="188">
        <v>71</v>
      </c>
    </row>
    <row r="313" spans="1:17" x14ac:dyDescent="0.25">
      <c r="A313" s="86" t="s">
        <v>1397</v>
      </c>
      <c r="B313" s="39" t="s">
        <v>1366</v>
      </c>
      <c r="C313" s="39">
        <v>6</v>
      </c>
      <c r="D313" s="66" t="s">
        <v>13</v>
      </c>
      <c r="E313" s="66">
        <f>LOOKUP(D313,Reference!$B$33:$B$46,Reference!$C$33:$C$46)</f>
        <v>1</v>
      </c>
      <c r="F313" s="66" t="s">
        <v>56</v>
      </c>
      <c r="G313" s="66">
        <f>LOOKUP(F313,Reference!$D$32:$D$55,Reference!$E$32:$E$55)</f>
        <v>0</v>
      </c>
      <c r="H313" s="66" t="s">
        <v>361</v>
      </c>
      <c r="I313" s="57">
        <f>IF(OR(E313="V",G313="V"),"V",IF(AND(E313="None",G313="None"),"None",(IF(E313="None",0,E313)+IF(G313="None",0,G313)+IF(H313="Yes",CharacterSheet!$V$34,0))))</f>
        <v>1</v>
      </c>
      <c r="J313" s="57" t="s">
        <v>360</v>
      </c>
      <c r="K313" s="66">
        <f>IF(J313="no",0,IF(OR(F313="None",F313="Cheval",F313="Legend",F313="Mystery",F313="Prophecy",F313="TsukumoGami"),0,IF(F313="Varies","V",IF(AND(G313=0,CharacterSheet!$R$36="No"),0,IF(AND(G313=0,CharacterSheet!$R$36="Yes"),LOOKUP(D313,Reference!$N$2:$N$10,Reference!$O$2:$O$10),IF(G313&gt;0,LOOKUP(D313,Reference!$N$2:$N$10,Reference!$P$2:$P$10),"ERROR"))))))</f>
        <v>0</v>
      </c>
      <c r="L313" s="66" t="s">
        <v>361</v>
      </c>
      <c r="M313" s="66">
        <f>IF(E313="V","V",IF(J313="Yes",K313,0)+IF(L313="Yes",CharacterSheet!D400,0))</f>
        <v>0</v>
      </c>
      <c r="N313" s="66" t="s">
        <v>1077</v>
      </c>
      <c r="O313" s="66" t="s">
        <v>1703</v>
      </c>
      <c r="P313" s="66" t="s">
        <v>1068</v>
      </c>
      <c r="Q313" s="188">
        <v>69</v>
      </c>
    </row>
    <row r="314" spans="1:17" x14ac:dyDescent="0.25">
      <c r="A314" s="86" t="s">
        <v>1141</v>
      </c>
      <c r="B314" s="39" t="s">
        <v>188</v>
      </c>
      <c r="C314" s="39">
        <v>1</v>
      </c>
      <c r="D314" s="66" t="s">
        <v>16</v>
      </c>
      <c r="E314" s="66">
        <f>LOOKUP(D314,Reference!$B$33:$B$46,Reference!$C$33:$C$46)</f>
        <v>1</v>
      </c>
      <c r="F314" s="66" t="s">
        <v>41</v>
      </c>
      <c r="G314" s="66">
        <f>LOOKUP(F314,Reference!$D$32:$D$55,Reference!$E$32:$E$55)</f>
        <v>0</v>
      </c>
      <c r="H314" s="66" t="s">
        <v>361</v>
      </c>
      <c r="I314" s="57">
        <f>IF(OR(E314="V",G314="V"),"V",IF(AND(E314="None",G314="None"),"None",(IF(E314="None",0,E314)+IF(G314="None",0,G314)+IF(H314="Yes",CharacterSheet!$V$34,0))))</f>
        <v>1</v>
      </c>
      <c r="J314" s="57" t="s">
        <v>360</v>
      </c>
      <c r="K314" s="66">
        <f>IF(J314="no",0,IF(OR(F314="None",F314="Cheval",F314="Legend",F314="Mystery",F314="Prophecy",F314="TsukumoGami"),0,IF(F314="Varies","V",IF(AND(G314=0,CharacterSheet!$R$36="No"),0,IF(AND(G314=0,CharacterSheet!$R$36="Yes"),LOOKUP(D314,Reference!$N$2:$N$10,Reference!$O$2:$O$10),IF(G314&gt;0,LOOKUP(D314,Reference!$N$2:$N$10,Reference!$P$2:$P$10),"ERROR"))))))</f>
        <v>0</v>
      </c>
      <c r="L314" s="66" t="s">
        <v>361</v>
      </c>
      <c r="M314" s="66">
        <f>IF(E314="V","V",IF(J314="Yes",K314,0)+IF(L314="Yes",CharacterSheet!D433,0))</f>
        <v>0</v>
      </c>
      <c r="N314" s="66" t="s">
        <v>508</v>
      </c>
      <c r="O314" s="66" t="s">
        <v>1570</v>
      </c>
      <c r="P314" s="66" t="s">
        <v>141</v>
      </c>
      <c r="Q314" s="188">
        <v>151</v>
      </c>
    </row>
    <row r="315" spans="1:17" x14ac:dyDescent="0.25">
      <c r="A315" s="86" t="s">
        <v>1337</v>
      </c>
      <c r="B315" s="39" t="s">
        <v>188</v>
      </c>
      <c r="C315" s="39">
        <v>10</v>
      </c>
      <c r="D315" s="66" t="s">
        <v>20</v>
      </c>
      <c r="E315" s="66">
        <f>LOOKUP(D315,Reference!$B$33:$B$46,Reference!$C$33:$C$46)</f>
        <v>1</v>
      </c>
      <c r="F315" s="66" t="s">
        <v>41</v>
      </c>
      <c r="G315" s="66">
        <f>LOOKUP(F315,Reference!$D$32:$D$55,Reference!$E$32:$E$55)</f>
        <v>0</v>
      </c>
      <c r="H315" s="66" t="s">
        <v>361</v>
      </c>
      <c r="I315" s="57">
        <f>IF(OR(E315="V",G315="V"),"V",IF(AND(E315="None",G315="None"),"None",(IF(E315="None",0,E315)+IF(G315="None",0,G315)+IF(H315="Yes",CharacterSheet!$V$34,0))))</f>
        <v>1</v>
      </c>
      <c r="J315" s="57" t="s">
        <v>360</v>
      </c>
      <c r="K315" s="66">
        <f>IF(J315="no",0,IF(OR(F315="None",F315="Cheval",F315="Legend",F315="Mystery",F315="Prophecy",F315="TsukumoGami"),0,IF(F315="Varies","V",IF(AND(G315=0,CharacterSheet!$R$36="No"),0,IF(AND(G315=0,CharacterSheet!$R$36="Yes"),LOOKUP(D315,Reference!$N$2:$N$10,Reference!$O$2:$O$10),IF(G315&gt;0,LOOKUP(D315,Reference!$N$2:$N$10,Reference!$P$2:$P$10),"ERROR"))))))</f>
        <v>0</v>
      </c>
      <c r="L315" s="66" t="s">
        <v>361</v>
      </c>
      <c r="M315" s="66">
        <f>IF(E315="V","V",IF(J315="Yes",K315,0)+IF(L315="Yes",CharacterSheet!D116,0))</f>
        <v>0</v>
      </c>
      <c r="N315" s="66" t="s">
        <v>1671</v>
      </c>
      <c r="O315" s="66" t="s">
        <v>1609</v>
      </c>
      <c r="P315" s="66" t="s">
        <v>5</v>
      </c>
      <c r="Q315" s="188">
        <v>106</v>
      </c>
    </row>
    <row r="316" spans="1:17" x14ac:dyDescent="0.25">
      <c r="A316" s="86" t="s">
        <v>1453</v>
      </c>
      <c r="B316" s="39" t="s">
        <v>177</v>
      </c>
      <c r="C316" s="39">
        <v>10</v>
      </c>
      <c r="D316" s="66" t="s">
        <v>83</v>
      </c>
      <c r="E316" s="66">
        <f>LOOKUP(D316,Reference!$B$33:$B$46,Reference!$C$33:$C$46)</f>
        <v>5</v>
      </c>
      <c r="F316" s="66" t="s">
        <v>40</v>
      </c>
      <c r="G316" s="66">
        <f>LOOKUP(F316,Reference!$D$32:$D$55,Reference!$E$32:$E$55)</f>
        <v>0</v>
      </c>
      <c r="H316" s="66" t="s">
        <v>360</v>
      </c>
      <c r="I316" s="57">
        <f>IF(OR(E316="V",G316="V"),"V",IF(AND(E316="None",G316="None"),"None",(IF(E316="None",0,E316)+IF(G316="None",0,G316)+IF(H316="Yes",CharacterSheet!$V$34,0))))</f>
        <v>7</v>
      </c>
      <c r="J316" s="57" t="s">
        <v>361</v>
      </c>
      <c r="K316" s="66">
        <f>IF(J316="no",0,IF(OR(F316="None",F316="Cheval",F316="Legend",F316="Mystery",F316="Prophecy",F316="TsukumoGami"),0,IF(F316="Varies","V",IF(AND(G316=0,CharacterSheet!$R$36="No"),0,IF(AND(G316=0,CharacterSheet!$R$36="Yes"),LOOKUP(D316,Reference!$N$2:$N$10,Reference!$O$2:$O$10),IF(G316&gt;0,LOOKUP(D316,Reference!$N$2:$N$10,Reference!$P$2:$P$10),"ERROR"))))))</f>
        <v>0</v>
      </c>
      <c r="L316" s="66" t="s">
        <v>361</v>
      </c>
      <c r="M316" s="66">
        <f>IF(E316="V","V",IF(J316="Yes",K316,0)+IF(L316="Yes",CharacterSheet!D210,0))</f>
        <v>0</v>
      </c>
      <c r="N316" s="66" t="s">
        <v>1719</v>
      </c>
      <c r="O316" s="66" t="s">
        <v>1720</v>
      </c>
      <c r="P316" s="66" t="s">
        <v>1068</v>
      </c>
      <c r="Q316" s="188">
        <v>99</v>
      </c>
    </row>
    <row r="317" spans="1:17" x14ac:dyDescent="0.25">
      <c r="A317" s="86" t="s">
        <v>1450</v>
      </c>
      <c r="B317" s="39" t="s">
        <v>177</v>
      </c>
      <c r="C317" s="39">
        <v>7</v>
      </c>
      <c r="D317" s="66" t="s">
        <v>508</v>
      </c>
      <c r="E317" s="66" t="str">
        <f>LOOKUP(D317,Reference!$B$33:$B$46,Reference!$C$33:$C$46)</f>
        <v>None</v>
      </c>
      <c r="F317" s="66" t="s">
        <v>508</v>
      </c>
      <c r="G317" s="66" t="str">
        <f>LOOKUP(F317,Reference!$D$32:$D$55,Reference!$E$32:$E$55)</f>
        <v>None</v>
      </c>
      <c r="H317" s="66" t="s">
        <v>361</v>
      </c>
      <c r="I317" s="57" t="str">
        <f>IF(OR(E317="V",G317="V"),"V",IF(AND(E317="None",G317="None"),"None",(IF(E317="None",0,E317)+IF(G317="None",0,G317)+IF(H317="Yes",CharacterSheet!$V$34,0))))</f>
        <v>None</v>
      </c>
      <c r="J317" s="57" t="s">
        <v>361</v>
      </c>
      <c r="K317" s="66">
        <f>IF(J317="no",0,IF(OR(F317="None",F317="Cheval",F317="Legend",F317="Mystery",F317="Prophecy",F317="TsukumoGami"),0,IF(F317="Varies","V",IF(AND(G317=0,CharacterSheet!$R$36="No"),0,IF(AND(G317=0,CharacterSheet!$R$36="Yes"),LOOKUP(D317,Reference!$N$2:$N$10,Reference!$O$2:$O$10),IF(G317&gt;0,LOOKUP(D317,Reference!$N$2:$N$10,Reference!$P$2:$P$10),"ERROR"))))))</f>
        <v>0</v>
      </c>
      <c r="L317" s="66" t="s">
        <v>361</v>
      </c>
      <c r="M317" s="66">
        <f>IF(E317="V","V",IF(J317="Yes",K317,0)+IF(L317="Yes",CharacterSheet!D113,0))</f>
        <v>0</v>
      </c>
      <c r="N317" s="66" t="s">
        <v>1075</v>
      </c>
      <c r="O317" s="66" t="s">
        <v>508</v>
      </c>
      <c r="P317" s="66" t="s">
        <v>1068</v>
      </c>
      <c r="Q317" s="188">
        <v>98</v>
      </c>
    </row>
    <row r="318" spans="1:17" x14ac:dyDescent="0.25">
      <c r="A318" s="86" t="s">
        <v>1200</v>
      </c>
      <c r="B318" s="39" t="s">
        <v>115</v>
      </c>
      <c r="C318" s="39">
        <v>6</v>
      </c>
      <c r="D318" s="66" t="s">
        <v>20</v>
      </c>
      <c r="E318" s="66">
        <f>LOOKUP(D318,Reference!$B$33:$B$46,Reference!$C$33:$C$46)</f>
        <v>1</v>
      </c>
      <c r="F318" s="66" t="s">
        <v>47</v>
      </c>
      <c r="G318" s="66">
        <f>LOOKUP(F318,Reference!$D$32:$D$55,Reference!$E$32:$E$55)</f>
        <v>0</v>
      </c>
      <c r="H318" s="66" t="s">
        <v>361</v>
      </c>
      <c r="I318" s="57">
        <f>IF(OR(E318="V",G318="V"),"V",IF(AND(E318="None",G318="None"),"None",(IF(E318="None",0,E318)+IF(G318="None",0,G318)+IF(H318="Yes",CharacterSheet!$V$34,0))))</f>
        <v>1</v>
      </c>
      <c r="J318" s="57" t="s">
        <v>360</v>
      </c>
      <c r="K318" s="66">
        <f>IF(J318="no",0,IF(OR(F318="None",F318="Cheval",F318="Legend",F318="Mystery",F318="Prophecy",F318="TsukumoGami"),0,IF(F318="Varies","V",IF(AND(G318=0,CharacterSheet!$R$36="No"),0,IF(AND(G318=0,CharacterSheet!$R$36="Yes"),LOOKUP(D318,Reference!$N$2:$N$10,Reference!$O$2:$O$10),IF(G318&gt;0,LOOKUP(D318,Reference!$N$2:$N$10,Reference!$P$2:$P$10),"ERROR"))))))</f>
        <v>0</v>
      </c>
      <c r="L318" s="66" t="s">
        <v>361</v>
      </c>
      <c r="M318" s="66">
        <f>IF(E318="V","V",IF(J318="Yes",K318,0)+IF(L318="Yes",CharacterSheet!D245,0))</f>
        <v>0</v>
      </c>
      <c r="N318" s="66" t="s">
        <v>1072</v>
      </c>
      <c r="O318" s="66" t="s">
        <v>1608</v>
      </c>
      <c r="P318" s="66" t="s">
        <v>1067</v>
      </c>
      <c r="Q318" s="188">
        <v>81</v>
      </c>
    </row>
    <row r="319" spans="1:17" x14ac:dyDescent="0.25">
      <c r="A319" s="86" t="s">
        <v>1381</v>
      </c>
      <c r="B319" s="39" t="s">
        <v>380</v>
      </c>
      <c r="C319" s="39">
        <v>4</v>
      </c>
      <c r="D319" s="66" t="s">
        <v>508</v>
      </c>
      <c r="E319" s="66" t="str">
        <f>LOOKUP(D319,Reference!$B$33:$B$46,Reference!$C$33:$C$46)</f>
        <v>None</v>
      </c>
      <c r="F319" s="66" t="s">
        <v>508</v>
      </c>
      <c r="G319" s="66" t="str">
        <f>LOOKUP(F319,Reference!$D$32:$D$55,Reference!$E$32:$E$55)</f>
        <v>None</v>
      </c>
      <c r="H319" s="66" t="s">
        <v>361</v>
      </c>
      <c r="I319" s="57" t="str">
        <f>IF(OR(E319="V",G319="V"),"V",IF(AND(E319="None",G319="None"),"None",(IF(E319="None",0,E319)+IF(G319="None",0,G319)+IF(H319="Yes",CharacterSheet!$V$34,0))))</f>
        <v>None</v>
      </c>
      <c r="J319" s="57" t="s">
        <v>361</v>
      </c>
      <c r="K319" s="66">
        <f>IF(J319="no",0,IF(OR(F319="None",F319="Cheval",F319="Legend",F319="Mystery",F319="Prophecy",F319="TsukumoGami"),0,IF(F319="Varies","V",IF(AND(G319=0,CharacterSheet!$R$36="No"),0,IF(AND(G319=0,CharacterSheet!$R$36="Yes"),LOOKUP(D319,Reference!$N$2:$N$10,Reference!$O$2:$O$10),IF(G319&gt;0,LOOKUP(D319,Reference!$N$2:$N$10,Reference!$P$2:$P$10),"ERROR"))))))</f>
        <v>0</v>
      </c>
      <c r="L319" s="66" t="s">
        <v>361</v>
      </c>
      <c r="M319" s="66">
        <f>IF(E319="V","V",IF(J319="Yes",K319,0)+IF(L319="Yes",CharacterSheet!D168,0))</f>
        <v>0</v>
      </c>
      <c r="N319" s="66" t="s">
        <v>1086</v>
      </c>
      <c r="O319" s="66" t="s">
        <v>508</v>
      </c>
      <c r="P319" s="66" t="s">
        <v>1068</v>
      </c>
      <c r="Q319" s="188">
        <v>20</v>
      </c>
    </row>
    <row r="320" spans="1:17" x14ac:dyDescent="0.25">
      <c r="A320" s="86" t="s">
        <v>1309</v>
      </c>
      <c r="B320" s="39" t="s">
        <v>376</v>
      </c>
      <c r="C320" s="39">
        <v>8</v>
      </c>
      <c r="D320" s="66" t="s">
        <v>508</v>
      </c>
      <c r="E320" s="66" t="str">
        <f>LOOKUP(D320,Reference!$B$33:$B$46,Reference!$C$33:$C$46)</f>
        <v>None</v>
      </c>
      <c r="F320" s="66" t="s">
        <v>508</v>
      </c>
      <c r="G320" s="66" t="str">
        <f>LOOKUP(F320,Reference!$D$32:$D$55,Reference!$E$32:$E$55)</f>
        <v>None</v>
      </c>
      <c r="H320" s="66" t="s">
        <v>361</v>
      </c>
      <c r="I320" s="57" t="str">
        <f>IF(OR(E320="V",G320="V"),"V",IF(AND(E320="None",G320="None"),"None",(IF(E320="None",0,E320)+IF(G320="None",0,G320)+IF(H320="Yes",CharacterSheet!$V$34,0))))</f>
        <v>None</v>
      </c>
      <c r="J320" s="57" t="s">
        <v>361</v>
      </c>
      <c r="K320" s="66">
        <f>IF(J320="no",0,IF(OR(F320="None",F320="Cheval",F320="Legend",F320="Mystery",F320="Prophecy",F320="TsukumoGami"),0,IF(F320="Varies","V",IF(AND(G320=0,CharacterSheet!$R$36="No"),0,IF(AND(G320=0,CharacterSheet!$R$36="Yes"),LOOKUP(D320,Reference!$N$2:$N$10,Reference!$O$2:$O$10),IF(G320&gt;0,LOOKUP(D320,Reference!$N$2:$N$10,Reference!$P$2:$P$10),"ERROR"))))))</f>
        <v>0</v>
      </c>
      <c r="L320" s="66" t="s">
        <v>361</v>
      </c>
      <c r="M320" s="66">
        <f>IF(E320="V","V",IF(J320="Yes",K320,0)+IF(L320="Yes",CharacterSheet!D74,0))</f>
        <v>0</v>
      </c>
      <c r="N320" s="66" t="s">
        <v>1663</v>
      </c>
      <c r="O320" s="66" t="s">
        <v>508</v>
      </c>
      <c r="P320" s="66" t="s">
        <v>5</v>
      </c>
      <c r="Q320" s="188">
        <v>97</v>
      </c>
    </row>
    <row r="321" spans="1:17" x14ac:dyDescent="0.25">
      <c r="A321" s="86" t="s">
        <v>1166</v>
      </c>
      <c r="B321" s="39" t="s">
        <v>366</v>
      </c>
      <c r="C321" s="39">
        <v>4</v>
      </c>
      <c r="D321" s="66" t="s">
        <v>20</v>
      </c>
      <c r="E321" s="66">
        <f>LOOKUP(D321,Reference!$B$33:$B$46,Reference!$C$33:$C$46)</f>
        <v>1</v>
      </c>
      <c r="F321" s="66" t="s">
        <v>36</v>
      </c>
      <c r="G321" s="66">
        <f>LOOKUP(F321,Reference!$D$32:$D$55,Reference!$E$32:$E$55)</f>
        <v>0</v>
      </c>
      <c r="H321" s="66" t="s">
        <v>361</v>
      </c>
      <c r="I321" s="57">
        <f>IF(OR(E321="V",G321="V"),"V",IF(AND(E321="None",G321="None"),"None",(IF(E321="None",0,E321)+IF(G321="None",0,G321)+IF(H321="Yes",CharacterSheet!$V$34,0))))</f>
        <v>1</v>
      </c>
      <c r="J321" s="57" t="s">
        <v>360</v>
      </c>
      <c r="K321" s="66">
        <f>IF(J321="no",0,IF(OR(F321="None",F321="Cheval",F321="Legend",F321="Mystery",F321="Prophecy",F321="TsukumoGami"),0,IF(F321="Varies","V",IF(AND(G321=0,CharacterSheet!$R$36="No"),0,IF(AND(G321=0,CharacterSheet!$R$36="Yes"),LOOKUP(D321,Reference!$N$2:$N$10,Reference!$O$2:$O$10),IF(G321&gt;0,LOOKUP(D321,Reference!$N$2:$N$10,Reference!$P$2:$P$10),"ERROR"))))))</f>
        <v>0</v>
      </c>
      <c r="L321" s="66" t="s">
        <v>361</v>
      </c>
      <c r="M321" s="66">
        <f>IF(E321="V","V",IF(J321="Yes",K321,0)+IF(L321="Yes",CharacterSheet!D175,0))</f>
        <v>0</v>
      </c>
      <c r="N321" s="66" t="s">
        <v>1072</v>
      </c>
      <c r="O321" s="66" t="s">
        <v>1539</v>
      </c>
      <c r="P321" s="66" t="s">
        <v>1067</v>
      </c>
      <c r="Q321" s="188">
        <v>70</v>
      </c>
    </row>
    <row r="322" spans="1:17" x14ac:dyDescent="0.25">
      <c r="A322" s="86" t="s">
        <v>1410</v>
      </c>
      <c r="B322" s="39" t="s">
        <v>370</v>
      </c>
      <c r="C322" s="39">
        <v>4</v>
      </c>
      <c r="D322" s="66" t="s">
        <v>508</v>
      </c>
      <c r="E322" s="66" t="str">
        <f>LOOKUP(D322,Reference!$B$33:$B$46,Reference!$C$33:$C$46)</f>
        <v>None</v>
      </c>
      <c r="F322" s="66" t="s">
        <v>508</v>
      </c>
      <c r="G322" s="66" t="str">
        <f>LOOKUP(F322,Reference!$D$32:$D$55,Reference!$E$32:$E$55)</f>
        <v>None</v>
      </c>
      <c r="H322" s="66" t="s">
        <v>361</v>
      </c>
      <c r="I322" s="57" t="str">
        <f>IF(OR(E322="V",G322="V"),"V",IF(AND(E322="None",G322="None"),"None",(IF(E322="None",0,E322)+IF(G322="None",0,G322)+IF(H322="Yes",CharacterSheet!$V$34,0))))</f>
        <v>None</v>
      </c>
      <c r="J322" s="57" t="s">
        <v>361</v>
      </c>
      <c r="K322" s="66">
        <f>IF(J322="no",0,IF(OR(F322="None",F322="Cheval",F322="Legend",F322="Mystery",F322="Prophecy",F322="TsukumoGami"),0,IF(F322="Varies","V",IF(AND(G322=0,CharacterSheet!$R$36="No"),0,IF(AND(G322=0,CharacterSheet!$R$36="Yes"),LOOKUP(D322,Reference!$N$2:$N$10,Reference!$O$2:$O$10),IF(G322&gt;0,LOOKUP(D322,Reference!$N$2:$N$10,Reference!$P$2:$P$10),"ERROR"))))))</f>
        <v>0</v>
      </c>
      <c r="L322" s="66" t="s">
        <v>361</v>
      </c>
      <c r="M322" s="66">
        <f>IF(E322="V","V",IF(J322="Yes",K322,0)+IF(L322="Yes",CharacterSheet!D164,0))</f>
        <v>0</v>
      </c>
      <c r="N322" s="66" t="s">
        <v>1076</v>
      </c>
      <c r="O322" s="66" t="s">
        <v>508</v>
      </c>
      <c r="P322" s="66" t="s">
        <v>1068</v>
      </c>
      <c r="Q322" s="188">
        <v>72</v>
      </c>
    </row>
    <row r="323" spans="1:17" x14ac:dyDescent="0.25">
      <c r="A323" s="86" t="s">
        <v>1170</v>
      </c>
      <c r="B323" s="39" t="s">
        <v>367</v>
      </c>
      <c r="C323" s="39">
        <v>4</v>
      </c>
      <c r="D323" s="66" t="s">
        <v>20</v>
      </c>
      <c r="E323" s="66">
        <f>LOOKUP(D323,Reference!$B$33:$B$46,Reference!$C$33:$C$46)</f>
        <v>1</v>
      </c>
      <c r="F323" s="66" t="s">
        <v>57</v>
      </c>
      <c r="G323" s="66">
        <f>LOOKUP(F323,Reference!$D$32:$D$55,Reference!$E$32:$E$55)</f>
        <v>0</v>
      </c>
      <c r="H323" s="66" t="s">
        <v>361</v>
      </c>
      <c r="I323" s="57">
        <f>IF(OR(E323="V",G323="V"),"V",IF(AND(E323="None",G323="None"),"None",(IF(E323="None",0,E323)+IF(G323="None",0,G323)+IF(H323="Yes",CharacterSheet!$V$34,0))))</f>
        <v>1</v>
      </c>
      <c r="J323" s="57" t="s">
        <v>360</v>
      </c>
      <c r="K323" s="66">
        <f>IF(J323="no",0,IF(OR(F323="None",F323="Cheval",F323="Legend",F323="Mystery",F323="Prophecy",F323="TsukumoGami"),0,IF(F323="Varies","V",IF(AND(G323=0,CharacterSheet!$R$36="No"),0,IF(AND(G323=0,CharacterSheet!$R$36="Yes"),LOOKUP(D323,Reference!$N$2:$N$10,Reference!$O$2:$O$10),IF(G323&gt;0,LOOKUP(D323,Reference!$N$2:$N$10,Reference!$P$2:$P$10),"ERROR"))))))</f>
        <v>0</v>
      </c>
      <c r="L323" s="66" t="s">
        <v>361</v>
      </c>
      <c r="M323" s="66">
        <f>IF(E323="V","V",IF(J323="Yes",K323,0)+IF(L323="Yes",CharacterSheet!D389,0))</f>
        <v>0</v>
      </c>
      <c r="N323" s="66" t="s">
        <v>1624</v>
      </c>
      <c r="O323" s="66" t="s">
        <v>1602</v>
      </c>
      <c r="P323" s="66" t="s">
        <v>1067</v>
      </c>
      <c r="Q323" s="188">
        <v>71</v>
      </c>
    </row>
    <row r="324" spans="1:17" x14ac:dyDescent="0.25">
      <c r="A324" s="86" t="s">
        <v>1243</v>
      </c>
      <c r="B324" s="39" t="s">
        <v>174</v>
      </c>
      <c r="C324" s="39">
        <v>5</v>
      </c>
      <c r="D324" s="66" t="s">
        <v>175</v>
      </c>
      <c r="E324" s="66">
        <f>LOOKUP(D324,Reference!$B$33:$B$46,Reference!$C$33:$C$46)</f>
        <v>0</v>
      </c>
      <c r="F324" s="66" t="s">
        <v>508</v>
      </c>
      <c r="G324" s="66" t="str">
        <f>LOOKUP(F324,Reference!$D$32:$D$55,Reference!$E$32:$E$55)</f>
        <v>None</v>
      </c>
      <c r="H324" s="66" t="s">
        <v>361</v>
      </c>
      <c r="I324" s="57">
        <f>IF(OR(E324="V",G324="V"),"V",IF(AND(E324="None",G324="None"),"None",(IF(E324="None",0,E324)+IF(G324="None",0,G324)+IF(H324="Yes",CharacterSheet!$V$34,0))))</f>
        <v>0</v>
      </c>
      <c r="J324" s="57" t="s">
        <v>361</v>
      </c>
      <c r="K324" s="66">
        <f>IF(J324="no",0,IF(OR(F324="None",F324="Cheval",F324="Legend",F324="Mystery",F324="Prophecy",F324="TsukumoGami"),0,IF(F324="Varies","V",IF(AND(G324=0,CharacterSheet!$R$36="No"),0,IF(AND(G324=0,CharacterSheet!$R$36="Yes"),LOOKUP(D324,Reference!$N$2:$N$10,Reference!$O$2:$O$10),IF(G324&gt;0,LOOKUP(D324,Reference!$N$2:$N$10,Reference!$P$2:$P$10),"ERROR"))))))</f>
        <v>0</v>
      </c>
      <c r="L324" s="66" t="s">
        <v>361</v>
      </c>
      <c r="M324" s="66">
        <f>IF(E324="V","V",IF(J324="Yes",K324,0)+IF(L324="Yes",CharacterSheet!D424,0))</f>
        <v>0</v>
      </c>
      <c r="N324" s="66" t="s">
        <v>1624</v>
      </c>
      <c r="O324" s="66" t="s">
        <v>175</v>
      </c>
      <c r="P324" s="66" t="s">
        <v>1067</v>
      </c>
      <c r="Q324" s="188">
        <v>94</v>
      </c>
    </row>
    <row r="325" spans="1:17" x14ac:dyDescent="0.25">
      <c r="A325" s="86" t="s">
        <v>1099</v>
      </c>
      <c r="B325" s="39" t="s">
        <v>370</v>
      </c>
      <c r="C325" s="39">
        <v>1</v>
      </c>
      <c r="D325" s="66" t="s">
        <v>508</v>
      </c>
      <c r="E325" s="66" t="str">
        <f>LOOKUP(D325,Reference!$B$33:$B$46,Reference!$C$33:$C$46)</f>
        <v>None</v>
      </c>
      <c r="F325" s="66" t="s">
        <v>508</v>
      </c>
      <c r="G325" s="66" t="str">
        <f>LOOKUP(F325,Reference!$D$32:$D$55,Reference!$E$32:$E$55)</f>
        <v>None</v>
      </c>
      <c r="H325" s="66" t="s">
        <v>361</v>
      </c>
      <c r="I325" s="57" t="str">
        <f>IF(OR(E325="V",G325="V"),"V",IF(AND(E325="None",G325="None"),"None",(IF(E325="None",0,E325)+IF(G325="None",0,G325)+IF(H325="Yes",CharacterSheet!$V$34,0))))</f>
        <v>None</v>
      </c>
      <c r="J325" s="57" t="s">
        <v>361</v>
      </c>
      <c r="K325" s="66">
        <f>IF(J325="no",0,IF(OR(F325="None",F325="Cheval",F325="Legend",F325="Mystery",F325="Prophecy",F325="TsukumoGami"),0,IF(F325="Varies","V",IF(AND(G325=0,CharacterSheet!$R$36="No"),0,IF(AND(G325=0,CharacterSheet!$R$36="Yes"),LOOKUP(D325,Reference!$N$2:$N$10,Reference!$O$2:$O$10),IF(G325&gt;0,LOOKUP(D325,Reference!$N$2:$N$10,Reference!$P$2:$P$10),"ERROR"))))))</f>
        <v>0</v>
      </c>
      <c r="L325" s="66" t="s">
        <v>361</v>
      </c>
      <c r="M325" s="66">
        <f>IF(E325="V","V",IF(J325="Yes",K325,0)+IF(L325="Yes",CharacterSheet!D293,0))</f>
        <v>0</v>
      </c>
      <c r="N325" s="66" t="s">
        <v>1799</v>
      </c>
      <c r="O325" s="66" t="s">
        <v>1799</v>
      </c>
      <c r="P325" s="66" t="s">
        <v>141</v>
      </c>
      <c r="Q325" s="188">
        <v>141</v>
      </c>
    </row>
    <row r="326" spans="1:17" x14ac:dyDescent="0.25">
      <c r="A326" s="86" t="s">
        <v>1296</v>
      </c>
      <c r="B326" s="39" t="s">
        <v>373</v>
      </c>
      <c r="C326" s="39">
        <v>10</v>
      </c>
      <c r="D326" s="66" t="s">
        <v>508</v>
      </c>
      <c r="E326" s="66" t="str">
        <f>LOOKUP(D326,Reference!$B$33:$B$46,Reference!$C$33:$C$46)</f>
        <v>None</v>
      </c>
      <c r="F326" s="66" t="s">
        <v>508</v>
      </c>
      <c r="G326" s="66" t="str">
        <f>LOOKUP(F326,Reference!$D$32:$D$55,Reference!$E$32:$E$55)</f>
        <v>None</v>
      </c>
      <c r="H326" s="66" t="s">
        <v>361</v>
      </c>
      <c r="I326" s="57" t="str">
        <f>IF(OR(E326="V",G326="V"),"V",IF(AND(E326="None",G326="None"),"None",(IF(E326="None",0,E326)+IF(G326="None",0,G326)+IF(H326="Yes",CharacterSheet!$V$34,0))))</f>
        <v>None</v>
      </c>
      <c r="J326" s="57" t="s">
        <v>361</v>
      </c>
      <c r="K326" s="66">
        <f>IF(J326="no",0,IF(OR(F326="None",F326="Cheval",F326="Legend",F326="Mystery",F326="Prophecy",F326="TsukumoGami"),0,IF(F326="Varies","V",IF(AND(G326=0,CharacterSheet!$R$36="No"),0,IF(AND(G326=0,CharacterSheet!$R$36="Yes"),LOOKUP(D326,Reference!$N$2:$N$10,Reference!$O$2:$O$10),IF(G326&gt;0,LOOKUP(D326,Reference!$N$2:$N$10,Reference!$P$2:$P$10),"ERROR"))))))</f>
        <v>0</v>
      </c>
      <c r="L326" s="66" t="s">
        <v>361</v>
      </c>
      <c r="M326" s="66">
        <f>IF(E326="V","V",IF(J326="Yes",K326,0)+IF(L326="Yes",CharacterSheet!D356,0))</f>
        <v>0</v>
      </c>
      <c r="N326" s="66" t="s">
        <v>1654</v>
      </c>
      <c r="O326" s="66" t="s">
        <v>508</v>
      </c>
      <c r="P326" s="66" t="s">
        <v>5</v>
      </c>
      <c r="Q326" s="188">
        <v>91</v>
      </c>
    </row>
    <row r="327" spans="1:17" x14ac:dyDescent="0.25">
      <c r="A327" s="86" t="s">
        <v>1462</v>
      </c>
      <c r="B327" s="39" t="s">
        <v>180</v>
      </c>
      <c r="C327" s="39">
        <v>9</v>
      </c>
      <c r="D327" s="66" t="s">
        <v>508</v>
      </c>
      <c r="E327" s="66" t="str">
        <f>LOOKUP(D327,Reference!$B$33:$B$46,Reference!$C$33:$C$46)</f>
        <v>None</v>
      </c>
      <c r="F327" s="66" t="s">
        <v>508</v>
      </c>
      <c r="G327" s="66" t="str">
        <f>LOOKUP(F327,Reference!$D$32:$D$55,Reference!$E$32:$E$55)</f>
        <v>None</v>
      </c>
      <c r="H327" s="66" t="s">
        <v>361</v>
      </c>
      <c r="I327" s="57" t="str">
        <f>IF(OR(E327="V",G327="V"),"V",IF(AND(E327="None",G327="None"),"None",(IF(E327="None",0,E327)+IF(G327="None",0,G327)+IF(H327="Yes",CharacterSheet!$V$34,0))))</f>
        <v>None</v>
      </c>
      <c r="J327" s="57" t="s">
        <v>361</v>
      </c>
      <c r="K327" s="66">
        <f>IF(J327="no",0,IF(OR(F327="None",F327="Cheval",F327="Legend",F327="Mystery",F327="Prophecy",F327="TsukumoGami"),0,IF(F327="Varies","V",IF(AND(G327=0,CharacterSheet!$R$36="No"),0,IF(AND(G327=0,CharacterSheet!$R$36="Yes"),LOOKUP(D327,Reference!$N$2:$N$10,Reference!$O$2:$O$10),IF(G327&gt;0,LOOKUP(D327,Reference!$N$2:$N$10,Reference!$P$2:$P$10),"ERROR"))))))</f>
        <v>0</v>
      </c>
      <c r="L327" s="66" t="s">
        <v>361</v>
      </c>
      <c r="M327" s="66">
        <f>IF(E327="V","V",IF(J327="Yes",K327,0)+IF(L327="Yes",CharacterSheet!D307,0))</f>
        <v>0</v>
      </c>
      <c r="N327" s="66" t="s">
        <v>1723</v>
      </c>
      <c r="O327" s="66" t="s">
        <v>508</v>
      </c>
      <c r="P327" s="66" t="s">
        <v>1068</v>
      </c>
      <c r="Q327" s="188">
        <v>175</v>
      </c>
    </row>
    <row r="328" spans="1:17" x14ac:dyDescent="0.25">
      <c r="A328" s="86" t="s">
        <v>1438</v>
      </c>
      <c r="B328" s="39" t="s">
        <v>385</v>
      </c>
      <c r="C328" s="39">
        <v>5</v>
      </c>
      <c r="D328" s="66" t="s">
        <v>16</v>
      </c>
      <c r="E328" s="66">
        <f>LOOKUP(D328,Reference!$B$33:$B$46,Reference!$C$33:$C$46)</f>
        <v>1</v>
      </c>
      <c r="F328" s="66" t="s">
        <v>51</v>
      </c>
      <c r="G328" s="66">
        <f>LOOKUP(F328,Reference!$D$32:$D$55,Reference!$E$32:$E$55)</f>
        <v>0</v>
      </c>
      <c r="H328" s="66" t="s">
        <v>361</v>
      </c>
      <c r="I328" s="57">
        <f>IF(OR(E328="V",G328="V"),"V",IF(AND(E328="None",G328="None"),"None",(IF(E328="None",0,E328)+IF(G328="None",0,G328)+IF(H328="Yes",CharacterSheet!$V$34,0))))</f>
        <v>1</v>
      </c>
      <c r="J328" s="57" t="s">
        <v>360</v>
      </c>
      <c r="K328" s="66">
        <f>IF(J328="no",0,IF(OR(F328="None",F328="Cheval",F328="Legend",F328="Mystery",F328="Prophecy",F328="TsukumoGami"),0,IF(F328="Varies","V",IF(AND(G328=0,CharacterSheet!$R$36="No"),0,IF(AND(G328=0,CharacterSheet!$R$36="Yes"),LOOKUP(D328,Reference!$N$2:$N$10,Reference!$O$2:$O$10),IF(G328&gt;0,LOOKUP(D328,Reference!$N$2:$N$10,Reference!$P$2:$P$10),"ERROR"))))))</f>
        <v>0</v>
      </c>
      <c r="L328" s="66" t="s">
        <v>361</v>
      </c>
      <c r="M328" s="66">
        <f>IF(E328="V","V",IF(J328="Yes",K328,0)+IF(L328="Yes",CharacterSheet!D368,0))</f>
        <v>0</v>
      </c>
      <c r="N328" s="66" t="s">
        <v>1715</v>
      </c>
      <c r="O328" s="66" t="s">
        <v>1559</v>
      </c>
      <c r="P328" s="66" t="s">
        <v>1068</v>
      </c>
      <c r="Q328" s="188">
        <v>81</v>
      </c>
    </row>
    <row r="329" spans="1:17" x14ac:dyDescent="0.25">
      <c r="A329" s="86" t="s">
        <v>1302</v>
      </c>
      <c r="B329" s="39" t="s">
        <v>374</v>
      </c>
      <c r="C329" s="39">
        <v>8</v>
      </c>
      <c r="D329" s="66" t="s">
        <v>16</v>
      </c>
      <c r="E329" s="66">
        <f>LOOKUP(D329,Reference!$B$33:$B$46,Reference!$C$33:$C$46)</f>
        <v>1</v>
      </c>
      <c r="F329" s="66" t="s">
        <v>40</v>
      </c>
      <c r="G329" s="66">
        <f>LOOKUP(F329,Reference!$D$32:$D$55,Reference!$E$32:$E$55)</f>
        <v>0</v>
      </c>
      <c r="H329" s="66" t="s">
        <v>360</v>
      </c>
      <c r="I329" s="57">
        <f>IF(OR(E329="V",G329="V"),"V",IF(AND(E329="None",G329="None"),"None",(IF(E329="None",0,E329)+IF(G329="None",0,G329)+IF(H329="Yes",CharacterSheet!$V$34,0))))</f>
        <v>3</v>
      </c>
      <c r="J329" s="57" t="s">
        <v>360</v>
      </c>
      <c r="K329" s="66">
        <f>IF(J329="no",0,IF(OR(F329="None",F329="Cheval",F329="Legend",F329="Mystery",F329="Prophecy",F329="TsukumoGami"),0,IF(F329="Varies","V",IF(AND(G329=0,CharacterSheet!$R$36="No"),0,IF(AND(G329=0,CharacterSheet!$R$36="Yes"),LOOKUP(D329,Reference!$N$2:$N$10,Reference!$O$2:$O$10),IF(G329&gt;0,LOOKUP(D329,Reference!$N$2:$N$10,Reference!$P$2:$P$10),"ERROR"))))))</f>
        <v>0</v>
      </c>
      <c r="L329" s="66" t="s">
        <v>361</v>
      </c>
      <c r="M329" s="66">
        <f>IF(E329="V","V",IF(J329="Yes",K329,0)+IF(L329="Yes",CharacterSheet!D72,0))</f>
        <v>0</v>
      </c>
      <c r="N329" s="66" t="s">
        <v>1075</v>
      </c>
      <c r="O329" s="66" t="s">
        <v>1549</v>
      </c>
      <c r="P329" s="66" t="s">
        <v>5</v>
      </c>
      <c r="Q329" s="188">
        <v>93</v>
      </c>
    </row>
    <row r="330" spans="1:17" x14ac:dyDescent="0.25">
      <c r="A330" s="86" t="s">
        <v>1203</v>
      </c>
      <c r="B330" s="39" t="s">
        <v>374</v>
      </c>
      <c r="C330" s="39">
        <v>5</v>
      </c>
      <c r="D330" s="66" t="s">
        <v>508</v>
      </c>
      <c r="E330" s="66" t="str">
        <f>LOOKUP(D330,Reference!$B$33:$B$46,Reference!$C$33:$C$46)</f>
        <v>None</v>
      </c>
      <c r="F330" s="66" t="s">
        <v>508</v>
      </c>
      <c r="G330" s="66" t="str">
        <f>LOOKUP(F330,Reference!$D$32:$D$55,Reference!$E$32:$E$55)</f>
        <v>None</v>
      </c>
      <c r="H330" s="66" t="s">
        <v>361</v>
      </c>
      <c r="I330" s="57" t="str">
        <f>IF(OR(E330="V",G330="V"),"V",IF(AND(E330="None",G330="None"),"None",(IF(E330="None",0,E330)+IF(G330="None",0,G330)+IF(H330="Yes",CharacterSheet!$V$34,0))))</f>
        <v>None</v>
      </c>
      <c r="J330" s="57" t="s">
        <v>361</v>
      </c>
      <c r="K330" s="66">
        <f>IF(J330="no",0,IF(OR(F330="None",F330="Cheval",F330="Legend",F330="Mystery",F330="Prophecy",F330="TsukumoGami"),0,IF(F330="Varies","V",IF(AND(G330=0,CharacterSheet!$R$36="No"),0,IF(AND(G330=0,CharacterSheet!$R$36="Yes"),LOOKUP(D330,Reference!$N$2:$N$10,Reference!$O$2:$O$10),IF(G330&gt;0,LOOKUP(D330,Reference!$N$2:$N$10,Reference!$P$2:$P$10),"ERROR"))))))</f>
        <v>0</v>
      </c>
      <c r="L330" s="66" t="s">
        <v>361</v>
      </c>
      <c r="M330" s="66">
        <f>IF(E330="V","V",IF(J330="Yes",K330,0)+IF(L330="Yes",CharacterSheet!V35,0))</f>
        <v>0</v>
      </c>
      <c r="N330" s="66" t="s">
        <v>1625</v>
      </c>
      <c r="O330" s="66" t="s">
        <v>508</v>
      </c>
      <c r="P330" s="66" t="s">
        <v>1067</v>
      </c>
      <c r="Q330" s="188">
        <v>82</v>
      </c>
    </row>
    <row r="331" spans="1:17" x14ac:dyDescent="0.25">
      <c r="A331" s="86" t="s">
        <v>1348</v>
      </c>
      <c r="B331" s="39" t="s">
        <v>385</v>
      </c>
      <c r="C331" s="39">
        <v>9</v>
      </c>
      <c r="D331" s="66" t="s">
        <v>16</v>
      </c>
      <c r="E331" s="66">
        <f>LOOKUP(D331,Reference!$B$33:$B$46,Reference!$C$33:$C$46)</f>
        <v>1</v>
      </c>
      <c r="F331" s="66" t="s">
        <v>49</v>
      </c>
      <c r="G331" s="66">
        <f>LOOKUP(F331,Reference!$D$32:$D$55,Reference!$E$32:$E$55)</f>
        <v>0</v>
      </c>
      <c r="H331" s="66" t="s">
        <v>361</v>
      </c>
      <c r="I331" s="57">
        <f>IF(OR(E331="V",G331="V"),"V",IF(AND(E331="None",G331="None"),"None",(IF(E331="None",0,E331)+IF(G331="None",0,G331)+IF(H331="Yes",CharacterSheet!$V$34,0))))</f>
        <v>1</v>
      </c>
      <c r="J331" s="57" t="s">
        <v>360</v>
      </c>
      <c r="K331" s="66">
        <f>IF(J331="no",0,IF(OR(F331="None",F331="Cheval",F331="Legend",F331="Mystery",F331="Prophecy",F331="TsukumoGami"),0,IF(F331="Varies","V",IF(AND(G331=0,CharacterSheet!$R$36="No"),0,IF(AND(G331=0,CharacterSheet!$R$36="Yes"),LOOKUP(D331,Reference!$N$2:$N$10,Reference!$O$2:$O$10),IF(G331&gt;0,LOOKUP(D331,Reference!$N$2:$N$10,Reference!$P$2:$P$10),"ERROR"))))))</f>
        <v>0</v>
      </c>
      <c r="L331" s="66" t="s">
        <v>361</v>
      </c>
      <c r="M331" s="66">
        <f>IF(E331="V","V",IF(J331="Yes",K331,0)+IF(L331="Yes",CharacterSheet!D54,0))</f>
        <v>0</v>
      </c>
      <c r="N331" s="66" t="s">
        <v>1075</v>
      </c>
      <c r="O331" s="66" t="s">
        <v>1572</v>
      </c>
      <c r="P331" s="66" t="s">
        <v>5</v>
      </c>
      <c r="Q331" s="188">
        <v>111</v>
      </c>
    </row>
    <row r="332" spans="1:17" x14ac:dyDescent="0.25">
      <c r="A332" s="86" t="s">
        <v>1143</v>
      </c>
      <c r="B332" s="39" t="s">
        <v>188</v>
      </c>
      <c r="C332" s="39">
        <v>3</v>
      </c>
      <c r="D332" s="66" t="s">
        <v>18</v>
      </c>
      <c r="E332" s="66">
        <f>LOOKUP(D332,Reference!$B$33:$B$46,Reference!$C$33:$C$46)</f>
        <v>1</v>
      </c>
      <c r="F332" s="66" t="s">
        <v>40</v>
      </c>
      <c r="G332" s="66">
        <f>LOOKUP(F332,Reference!$D$32:$D$55,Reference!$E$32:$E$55)</f>
        <v>0</v>
      </c>
      <c r="H332" s="66" t="s">
        <v>361</v>
      </c>
      <c r="I332" s="57">
        <f>IF(OR(E332="V",G332="V"),"V",IF(AND(E332="None",G332="None"),"None",(IF(E332="None",0,E332)+IF(G332="None",0,G332)+IF(H332="Yes",CharacterSheet!$V$34,0))))</f>
        <v>1</v>
      </c>
      <c r="J332" s="57" t="s">
        <v>360</v>
      </c>
      <c r="K332" s="66">
        <f>IF(J332="no",0,IF(OR(F332="None",F332="Cheval",F332="Legend",F332="Mystery",F332="Prophecy",F332="TsukumoGami"),0,IF(F332="Varies","V",IF(AND(G332=0,CharacterSheet!$R$36="No"),0,IF(AND(G332=0,CharacterSheet!$R$36="Yes"),LOOKUP(D332,Reference!$N$2:$N$10,Reference!$O$2:$O$10),IF(G332&gt;0,LOOKUP(D332,Reference!$N$2:$N$10,Reference!$P$2:$P$10),"ERROR"))))))</f>
        <v>0</v>
      </c>
      <c r="L332" s="66" t="s">
        <v>361</v>
      </c>
      <c r="M332" s="66">
        <f>IF(E332="V","V",IF(J332="Yes",K332,0)+IF(L332="Yes",CharacterSheet!D158,0))</f>
        <v>0</v>
      </c>
      <c r="N332" s="66" t="s">
        <v>1072</v>
      </c>
      <c r="O332" s="66" t="s">
        <v>1571</v>
      </c>
      <c r="P332" s="66" t="s">
        <v>141</v>
      </c>
      <c r="Q332" s="188">
        <v>152</v>
      </c>
    </row>
    <row r="333" spans="1:17" x14ac:dyDescent="0.25">
      <c r="A333" s="86" t="s">
        <v>1142</v>
      </c>
      <c r="B333" s="39" t="s">
        <v>188</v>
      </c>
      <c r="C333" s="39">
        <v>2</v>
      </c>
      <c r="D333" s="66" t="s">
        <v>508</v>
      </c>
      <c r="E333" s="66" t="str">
        <f>LOOKUP(D333,Reference!$B$33:$B$46,Reference!$C$33:$C$46)</f>
        <v>None</v>
      </c>
      <c r="F333" s="66" t="s">
        <v>508</v>
      </c>
      <c r="G333" s="66" t="str">
        <f>LOOKUP(F333,Reference!$D$32:$D$55,Reference!$E$32:$E$55)</f>
        <v>None</v>
      </c>
      <c r="H333" s="66" t="s">
        <v>361</v>
      </c>
      <c r="I333" s="57" t="str">
        <f>IF(OR(E333="V",G333="V"),"V",IF(AND(E333="None",G333="None"),"None",(IF(E333="None",0,E333)+IF(G333="None",0,G333)+IF(H333="Yes",CharacterSheet!$V$34,0))))</f>
        <v>None</v>
      </c>
      <c r="J333" s="57" t="s">
        <v>361</v>
      </c>
      <c r="K333" s="66">
        <f>IF(J333="no",0,IF(OR(F333="None",F333="Cheval",F333="Legend",F333="Mystery",F333="Prophecy",F333="TsukumoGami"),0,IF(F333="Varies","V",IF(AND(G333=0,CharacterSheet!$R$36="No"),0,IF(AND(G333=0,CharacterSheet!$R$36="Yes"),LOOKUP(D333,Reference!$N$2:$N$10,Reference!$O$2:$O$10),IF(G333&gt;0,LOOKUP(D333,Reference!$N$2:$N$10,Reference!$P$2:$P$10),"ERROR"))))))</f>
        <v>0</v>
      </c>
      <c r="L333" s="66" t="s">
        <v>361</v>
      </c>
      <c r="M333" s="66">
        <f>IF(E333="V","V",IF(J333="Yes",K333,0)+IF(L333="Yes",CharacterSheet!D178,0))</f>
        <v>0</v>
      </c>
      <c r="N333" s="66" t="s">
        <v>1072</v>
      </c>
      <c r="O333" s="66" t="s">
        <v>508</v>
      </c>
      <c r="P333" s="66" t="s">
        <v>141</v>
      </c>
      <c r="Q333" s="188">
        <v>151</v>
      </c>
    </row>
    <row r="334" spans="1:17" x14ac:dyDescent="0.25">
      <c r="A334" s="86" t="s">
        <v>1497</v>
      </c>
      <c r="B334" s="39" t="s">
        <v>378</v>
      </c>
      <c r="C334" s="39">
        <v>2</v>
      </c>
      <c r="D334" s="66" t="s">
        <v>19</v>
      </c>
      <c r="E334" s="66">
        <f>LOOKUP(D334,Reference!$B$33:$B$46,Reference!$C$33:$C$46)</f>
        <v>1</v>
      </c>
      <c r="F334" s="66" t="s">
        <v>38</v>
      </c>
      <c r="G334" s="66">
        <f>LOOKUP(F334,Reference!$D$32:$D$55,Reference!$E$32:$E$55)</f>
        <v>0</v>
      </c>
      <c r="H334" s="66" t="s">
        <v>361</v>
      </c>
      <c r="I334" s="57">
        <f>IF(OR(E334="V",G334="V"),"V",IF(AND(E334="None",G334="None"),"None",(IF(E334="None",0,E334)+IF(G334="None",0,G334)+IF(H334="Yes",CharacterSheet!$V$34,0))))</f>
        <v>1</v>
      </c>
      <c r="J334" s="57" t="s">
        <v>360</v>
      </c>
      <c r="K334" s="66">
        <f>IF(J334="no",0,IF(OR(F334="None",F334="Cheval",F334="Legend",F334="Mystery",F334="Prophecy",F334="TsukumoGami"),0,IF(F334="Varies","V",IF(AND(G334=0,CharacterSheet!$R$36="No"),0,IF(AND(G334=0,CharacterSheet!$R$36="Yes"),LOOKUP(D334,Reference!$N$2:$N$10,Reference!$O$2:$O$10),IF(G334&gt;0,LOOKUP(D334,Reference!$N$2:$N$10,Reference!$P$2:$P$10),"ERROR"))))))</f>
        <v>0</v>
      </c>
      <c r="L334" s="66" t="s">
        <v>361</v>
      </c>
      <c r="M334" s="66">
        <f>IF(E334="V","V",IF(J334="Yes",K334,0)+IF(L334="Yes",CharacterSheet!D472,0))</f>
        <v>0</v>
      </c>
      <c r="N334" s="66" t="s">
        <v>508</v>
      </c>
      <c r="O334" s="66" t="s">
        <v>1550</v>
      </c>
      <c r="P334" s="66" t="s">
        <v>1485</v>
      </c>
      <c r="Q334" s="188">
        <v>17</v>
      </c>
    </row>
    <row r="335" spans="1:17" x14ac:dyDescent="0.25">
      <c r="A335" s="86" t="s">
        <v>1494</v>
      </c>
      <c r="B335" s="66" t="s">
        <v>192</v>
      </c>
      <c r="C335" s="39">
        <v>9</v>
      </c>
      <c r="D335" s="66" t="s">
        <v>60</v>
      </c>
      <c r="E335" s="66">
        <f>LOOKUP(D335,Reference!$B$33:$B$46,Reference!$C$33:$C$46)</f>
        <v>0</v>
      </c>
      <c r="F335" s="66" t="s">
        <v>43</v>
      </c>
      <c r="G335" s="66">
        <f>LOOKUP(F335,Reference!$D$32:$D$55,Reference!$E$32:$E$55)</f>
        <v>0</v>
      </c>
      <c r="H335" s="66" t="s">
        <v>360</v>
      </c>
      <c r="I335" s="57">
        <f>IF(OR(E335="V",G335="V"),"V",IF(AND(E335="None",G335="None"),"None",(IF(E335="None",0,E335)+IF(G335="None",0,G335)+IF(H335="Yes",CharacterSheet!$V$34,0))))</f>
        <v>2</v>
      </c>
      <c r="J335" s="57" t="s">
        <v>361</v>
      </c>
      <c r="K335" s="66">
        <f>IF(J335="no",0,IF(OR(F335="None",F335="Cheval",F335="Legend",F335="Mystery",F335="Prophecy",F335="TsukumoGami"),0,IF(F335="Varies","V",IF(AND(G335=0,CharacterSheet!$R$36="No"),0,IF(AND(G335=0,CharacterSheet!$R$36="Yes"),LOOKUP(D335,Reference!$N$2:$N$10,Reference!$O$2:$O$10),IF(G335&gt;0,LOOKUP(D335,Reference!$N$2:$N$10,Reference!$P$2:$P$10),"ERROR"))))))</f>
        <v>0</v>
      </c>
      <c r="L335" s="66" t="s">
        <v>361</v>
      </c>
      <c r="M335" s="66">
        <f>IF(E335="V","V",IF(J335="Yes",K335,0)+IF(L335="Yes",CharacterSheet!D337,0))</f>
        <v>0</v>
      </c>
      <c r="N335" s="66" t="s">
        <v>1652</v>
      </c>
      <c r="O335" s="66" t="s">
        <v>1693</v>
      </c>
      <c r="P335" s="66" t="s">
        <v>1485</v>
      </c>
      <c r="Q335" s="188">
        <v>16</v>
      </c>
    </row>
    <row r="336" spans="1:17" x14ac:dyDescent="0.25">
      <c r="A336" s="86" t="s">
        <v>1177</v>
      </c>
      <c r="B336" s="39" t="s">
        <v>368</v>
      </c>
      <c r="C336" s="39">
        <v>7</v>
      </c>
      <c r="D336" s="66" t="s">
        <v>16</v>
      </c>
      <c r="E336" s="66">
        <f>LOOKUP(D336,Reference!$B$33:$B$46,Reference!$C$33:$C$46)</f>
        <v>1</v>
      </c>
      <c r="F336" s="66" t="s">
        <v>51</v>
      </c>
      <c r="G336" s="66">
        <f>LOOKUP(F336,Reference!$D$32:$D$55,Reference!$E$32:$E$55)</f>
        <v>0</v>
      </c>
      <c r="H336" s="66" t="s">
        <v>361</v>
      </c>
      <c r="I336" s="57">
        <f>IF(OR(E336="V",G336="V"),"V",IF(AND(E336="None",G336="None"),"None",(IF(E336="None",0,E336)+IF(G336="None",0,G336)+IF(H336="Yes",CharacterSheet!$V$34,0))))</f>
        <v>1</v>
      </c>
      <c r="J336" s="57" t="s">
        <v>360</v>
      </c>
      <c r="K336" s="66">
        <f>IF(J336="no",0,IF(OR(F336="None",F336="Cheval",F336="Legend",F336="Mystery",F336="Prophecy",F336="TsukumoGami"),0,IF(F336="Varies","V",IF(AND(G336=0,CharacterSheet!$R$36="No"),0,IF(AND(G336=0,CharacterSheet!$R$36="Yes"),LOOKUP(D336,Reference!$N$2:$N$10,Reference!$O$2:$O$10),IF(G336&gt;0,LOOKUP(D336,Reference!$N$2:$N$10,Reference!$P$2:$P$10),"ERROR"))))))</f>
        <v>0</v>
      </c>
      <c r="L336" s="66" t="s">
        <v>361</v>
      </c>
      <c r="M336" s="66">
        <f>IF(E336="V","V",IF(J336="Yes",K336,0)+IF(L336="Yes",CharacterSheet!D190,0))</f>
        <v>0</v>
      </c>
      <c r="N336" s="66" t="s">
        <v>1631</v>
      </c>
      <c r="O336" s="66" t="s">
        <v>1559</v>
      </c>
      <c r="P336" s="66" t="s">
        <v>1067</v>
      </c>
      <c r="Q336" s="188">
        <v>73</v>
      </c>
    </row>
    <row r="337" spans="1:17" x14ac:dyDescent="0.25">
      <c r="A337" s="86" t="s">
        <v>1175</v>
      </c>
      <c r="B337" s="39" t="s">
        <v>368</v>
      </c>
      <c r="C337" s="39">
        <v>5</v>
      </c>
      <c r="D337" s="66" t="s">
        <v>13</v>
      </c>
      <c r="E337" s="66">
        <f>LOOKUP(D337,Reference!$B$33:$B$46,Reference!$C$33:$C$46)</f>
        <v>1</v>
      </c>
      <c r="F337" s="66" t="s">
        <v>55</v>
      </c>
      <c r="G337" s="66">
        <f>LOOKUP(F337,Reference!$D$32:$D$55,Reference!$E$32:$E$55)</f>
        <v>0</v>
      </c>
      <c r="H337" s="66" t="s">
        <v>361</v>
      </c>
      <c r="I337" s="57">
        <f>IF(OR(E337="V",G337="V"),"V",IF(AND(E337="None",G337="None"),"None",(IF(E337="None",0,E337)+IF(G337="None",0,G337)+IF(H337="Yes",CharacterSheet!$V$34,0))))</f>
        <v>1</v>
      </c>
      <c r="J337" s="57" t="s">
        <v>360</v>
      </c>
      <c r="K337" s="66">
        <f>IF(J337="no",0,IF(OR(F337="None",F337="Cheval",F337="Legend",F337="Mystery",F337="Prophecy",F337="TsukumoGami"),0,IF(F337="Varies","V",IF(AND(G337=0,CharacterSheet!$R$36="No"),0,IF(AND(G337=0,CharacterSheet!$R$36="Yes"),LOOKUP(D337,Reference!$N$2:$N$10,Reference!$O$2:$O$10),IF(G337&gt;0,LOOKUP(D337,Reference!$N$2:$N$10,Reference!$P$2:$P$10),"ERROR"))))))</f>
        <v>0</v>
      </c>
      <c r="L337" s="66" t="s">
        <v>361</v>
      </c>
      <c r="M337" s="66">
        <f>IF(E337="V","V",IF(J337="Yes",K337,0)+IF(L337="Yes",CharacterSheet!D188,0))</f>
        <v>0</v>
      </c>
      <c r="N337" s="66" t="s">
        <v>1632</v>
      </c>
      <c r="O337" s="66" t="s">
        <v>1603</v>
      </c>
      <c r="P337" s="66" t="s">
        <v>1067</v>
      </c>
      <c r="Q337" s="188">
        <v>72</v>
      </c>
    </row>
    <row r="338" spans="1:17" x14ac:dyDescent="0.25">
      <c r="A338" s="86" t="s">
        <v>1094</v>
      </c>
      <c r="B338" s="39" t="s">
        <v>368</v>
      </c>
      <c r="C338" s="39">
        <v>2</v>
      </c>
      <c r="D338" s="66" t="s">
        <v>13</v>
      </c>
      <c r="E338" s="66">
        <f>LOOKUP(D338,Reference!$B$33:$B$46,Reference!$C$33:$C$46)</f>
        <v>1</v>
      </c>
      <c r="F338" s="66" t="s">
        <v>45</v>
      </c>
      <c r="G338" s="66">
        <f>LOOKUP(F338,Reference!$D$32:$D$55,Reference!$E$32:$E$55)</f>
        <v>0</v>
      </c>
      <c r="H338" s="66" t="s">
        <v>361</v>
      </c>
      <c r="I338" s="57">
        <f>IF(OR(E338="V",G338="V"),"V",IF(AND(E338="None",G338="None"),"None",(IF(E338="None",0,E338)+IF(G338="None",0,G338)+IF(H338="Yes",CharacterSheet!$V$34,0))))</f>
        <v>1</v>
      </c>
      <c r="J338" s="57" t="s">
        <v>360</v>
      </c>
      <c r="K338" s="66">
        <f>IF(J338="no",0,IF(OR(F338="None",F338="Cheval",F338="Legend",F338="Mystery",F338="Prophecy",F338="TsukumoGami"),0,IF(F338="Varies","V",IF(AND(G338=0,CharacterSheet!$R$36="No"),0,IF(AND(G338=0,CharacterSheet!$R$36="Yes"),LOOKUP(D338,Reference!$N$2:$N$10,Reference!$O$2:$O$10),IF(G338&gt;0,LOOKUP(D338,Reference!$N$2:$N$10,Reference!$P$2:$P$10),"ERROR"))))))</f>
        <v>0</v>
      </c>
      <c r="L338" s="66" t="s">
        <v>361</v>
      </c>
      <c r="M338" s="66">
        <f>IF(E338="V","V",IF(J338="Yes",K338,0)+IF(L338="Yes",CharacterSheet!D68,0))</f>
        <v>0</v>
      </c>
      <c r="N338" s="66" t="s">
        <v>1072</v>
      </c>
      <c r="O338" s="66" t="s">
        <v>1546</v>
      </c>
      <c r="P338" s="66" t="s">
        <v>141</v>
      </c>
      <c r="Q338" s="188">
        <v>140</v>
      </c>
    </row>
    <row r="339" spans="1:17" x14ac:dyDescent="0.25">
      <c r="A339" s="86" t="s">
        <v>1095</v>
      </c>
      <c r="B339" s="39" t="s">
        <v>368</v>
      </c>
      <c r="C339" s="39">
        <v>3</v>
      </c>
      <c r="D339" s="66" t="s">
        <v>13</v>
      </c>
      <c r="E339" s="66">
        <f>LOOKUP(D339,Reference!$B$33:$B$46,Reference!$C$33:$C$46)</f>
        <v>1</v>
      </c>
      <c r="F339" s="66" t="s">
        <v>52</v>
      </c>
      <c r="G339" s="66">
        <f>LOOKUP(F339,Reference!$D$32:$D$55,Reference!$E$32:$E$55)</f>
        <v>0</v>
      </c>
      <c r="H339" s="66" t="s">
        <v>361</v>
      </c>
      <c r="I339" s="57">
        <f>IF(OR(E339="V",G339="V"),"V",IF(AND(E339="None",G339="None"),"None",(IF(E339="None",0,E339)+IF(G339="None",0,G339)+IF(H339="Yes",CharacterSheet!$V$34,0))))</f>
        <v>1</v>
      </c>
      <c r="J339" s="57" t="s">
        <v>360</v>
      </c>
      <c r="K339" s="66">
        <f>IF(J339="no",0,IF(OR(F339="None",F339="Cheval",F339="Legend",F339="Mystery",F339="Prophecy",F339="TsukumoGami"),0,IF(F339="Varies","V",IF(AND(G339=0,CharacterSheet!$R$36="No"),0,IF(AND(G339=0,CharacterSheet!$R$36="Yes"),LOOKUP(D339,Reference!$N$2:$N$10,Reference!$O$2:$O$10),IF(G339&gt;0,LOOKUP(D339,Reference!$N$2:$N$10,Reference!$P$2:$P$10),"ERROR"))))))</f>
        <v>0</v>
      </c>
      <c r="L339" s="66" t="s">
        <v>361</v>
      </c>
      <c r="M339" s="66">
        <f>IF(E339="V","V",IF(J339="Yes",K339,0)+IF(L339="Yes",CharacterSheet!D246,0))</f>
        <v>0</v>
      </c>
      <c r="N339" s="66" t="s">
        <v>1072</v>
      </c>
      <c r="O339" s="66" t="s">
        <v>1547</v>
      </c>
      <c r="P339" s="66" t="s">
        <v>141</v>
      </c>
      <c r="Q339" s="188">
        <v>140</v>
      </c>
    </row>
    <row r="340" spans="1:17" x14ac:dyDescent="0.25">
      <c r="A340" s="86" t="s">
        <v>1176</v>
      </c>
      <c r="B340" s="39" t="s">
        <v>368</v>
      </c>
      <c r="C340" s="39">
        <v>6</v>
      </c>
      <c r="D340" s="66" t="s">
        <v>30</v>
      </c>
      <c r="E340" s="66">
        <f>LOOKUP(D340,Reference!$B$33:$B$46,Reference!$C$33:$C$46)</f>
        <v>1</v>
      </c>
      <c r="F340" s="66" t="s">
        <v>508</v>
      </c>
      <c r="G340" s="66" t="str">
        <f>LOOKUP(F340,Reference!$D$32:$D$55,Reference!$E$32:$E$55)</f>
        <v>None</v>
      </c>
      <c r="H340" s="66" t="s">
        <v>361</v>
      </c>
      <c r="I340" s="57">
        <f>IF(OR(E340="V",G340="V"),"V",IF(AND(E340="None",G340="None"),"None",(IF(E340="None",0,E340)+IF(G340="None",0,G340)+IF(H340="Yes",CharacterSheet!$V$34,0))))</f>
        <v>1</v>
      </c>
      <c r="J340" s="57" t="s">
        <v>360</v>
      </c>
      <c r="K340" s="66">
        <f>IF(J340="no",0,IF(OR(F340="None",F340="Cheval",F340="Legend",F340="Mystery",F340="Prophecy",F340="TsukumoGami"),0,IF(F340="Varies","V",IF(AND(G340=0,CharacterSheet!$R$36="No"),0,IF(AND(G340=0,CharacterSheet!$R$36="Yes"),LOOKUP(D340,Reference!$N$2:$N$10,Reference!$O$2:$O$10),IF(G340&gt;0,LOOKUP(D340,Reference!$N$2:$N$10,Reference!$P$2:$P$10),"ERROR"))))))</f>
        <v>0</v>
      </c>
      <c r="L340" s="66" t="s">
        <v>361</v>
      </c>
      <c r="M340" s="66">
        <f>IF(E340="V","V",IF(J340="Yes",K340,0)+IF(L340="Yes",CharacterSheet!D189,0))</f>
        <v>0</v>
      </c>
      <c r="N340" s="66" t="s">
        <v>1630</v>
      </c>
      <c r="O340" s="66" t="s">
        <v>30</v>
      </c>
      <c r="P340" s="66" t="s">
        <v>1067</v>
      </c>
      <c r="Q340" s="188">
        <v>73</v>
      </c>
    </row>
    <row r="341" spans="1:17" x14ac:dyDescent="0.25">
      <c r="A341" s="86" t="s">
        <v>1174</v>
      </c>
      <c r="B341" s="39" t="s">
        <v>368</v>
      </c>
      <c r="C341" s="39">
        <v>4</v>
      </c>
      <c r="D341" s="66" t="s">
        <v>508</v>
      </c>
      <c r="E341" s="66" t="str">
        <f>LOOKUP(D341,Reference!$B$33:$B$46,Reference!$C$33:$C$46)</f>
        <v>None</v>
      </c>
      <c r="F341" s="66" t="s">
        <v>508</v>
      </c>
      <c r="G341" s="66" t="str">
        <f>LOOKUP(F341,Reference!$D$32:$D$55,Reference!$E$32:$E$55)</f>
        <v>None</v>
      </c>
      <c r="H341" s="66" t="s">
        <v>361</v>
      </c>
      <c r="I341" s="57" t="str">
        <f>IF(OR(E341="V",G341="V"),"V",IF(AND(E341="None",G341="None"),"None",(IF(E341="None",0,E341)+IF(G341="None",0,G341)+IF(H341="Yes",CharacterSheet!$V$34,0))))</f>
        <v>None</v>
      </c>
      <c r="J341" s="57" t="s">
        <v>361</v>
      </c>
      <c r="K341" s="66">
        <f>IF(J341="no",0,IF(OR(F341="None",F341="Cheval",F341="Legend",F341="Mystery",F341="Prophecy",F341="TsukumoGami"),0,IF(F341="Varies","V",IF(AND(G341=0,CharacterSheet!$R$36="No"),0,IF(AND(G341=0,CharacterSheet!$R$36="Yes"),LOOKUP(D341,Reference!$N$2:$N$10,Reference!$O$2:$O$10),IF(G341&gt;0,LOOKUP(D341,Reference!$N$2:$N$10,Reference!$P$2:$P$10),"ERROR"))))))</f>
        <v>0</v>
      </c>
      <c r="L341" s="66" t="s">
        <v>361</v>
      </c>
      <c r="M341" s="66">
        <f>IF(E341="V","V",IF(J341="Yes",K341,0)+IF(L341="Yes",CharacterSheet!D191,0))</f>
        <v>0</v>
      </c>
      <c r="N341" s="66" t="s">
        <v>1072</v>
      </c>
      <c r="O341" s="66" t="s">
        <v>508</v>
      </c>
      <c r="P341" s="66" t="s">
        <v>1067</v>
      </c>
      <c r="Q341" s="188">
        <v>72</v>
      </c>
    </row>
    <row r="342" spans="1:17" x14ac:dyDescent="0.25">
      <c r="A342" s="86" t="s">
        <v>1101</v>
      </c>
      <c r="B342" s="39" t="s">
        <v>370</v>
      </c>
      <c r="C342" s="39">
        <v>3</v>
      </c>
      <c r="D342" s="66" t="s">
        <v>13</v>
      </c>
      <c r="E342" s="66">
        <f>LOOKUP(D342,Reference!$B$33:$B$46,Reference!$C$33:$C$46)</f>
        <v>1</v>
      </c>
      <c r="F342" s="66" t="s">
        <v>57</v>
      </c>
      <c r="G342" s="66">
        <f>LOOKUP(F342,Reference!$D$32:$D$55,Reference!$E$32:$E$55)</f>
        <v>0</v>
      </c>
      <c r="H342" s="66" t="s">
        <v>361</v>
      </c>
      <c r="I342" s="57">
        <f>IF(OR(E342="V",G342="V"),"V",IF(AND(E342="None",G342="None"),"None",(IF(E342="None",0,E342)+IF(G342="None",0,G342)+IF(H342="Yes",CharacterSheet!$V$34,0))))</f>
        <v>1</v>
      </c>
      <c r="J342" s="57" t="s">
        <v>360</v>
      </c>
      <c r="K342" s="66">
        <f>IF(J342="no",0,IF(OR(F342="None",F342="Cheval",F342="Legend",F342="Mystery",F342="Prophecy",F342="TsukumoGami"),0,IF(F342="Varies","V",IF(AND(G342=0,CharacterSheet!$R$36="No"),0,IF(AND(G342=0,CharacterSheet!$R$36="Yes"),LOOKUP(D342,Reference!$N$2:$N$10,Reference!$O$2:$O$10),IF(G342&gt;0,LOOKUP(D342,Reference!$N$2:$N$10,Reference!$P$2:$P$10),"ERROR"))))))</f>
        <v>0</v>
      </c>
      <c r="L342" s="66" t="s">
        <v>361</v>
      </c>
      <c r="M342" s="66">
        <f>IF(E342="V","V",IF(J342="Yes",K342,0)+IF(L342="Yes",CharacterSheet!D411,0))</f>
        <v>0</v>
      </c>
      <c r="N342" s="66" t="s">
        <v>1072</v>
      </c>
      <c r="O342" s="66" t="s">
        <v>1551</v>
      </c>
      <c r="P342" s="66" t="s">
        <v>141</v>
      </c>
      <c r="Q342" s="188">
        <v>142</v>
      </c>
    </row>
    <row r="343" spans="1:17" x14ac:dyDescent="0.25">
      <c r="A343" s="86" t="s">
        <v>1116</v>
      </c>
      <c r="B343" s="39" t="s">
        <v>374</v>
      </c>
      <c r="C343" s="39">
        <v>3</v>
      </c>
      <c r="D343" s="66" t="s">
        <v>508</v>
      </c>
      <c r="E343" s="66" t="str">
        <f>LOOKUP(D343,Reference!$B$33:$B$46,Reference!$C$33:$C$46)</f>
        <v>None</v>
      </c>
      <c r="F343" s="66" t="s">
        <v>508</v>
      </c>
      <c r="G343" s="66" t="str">
        <f>LOOKUP(F343,Reference!$D$32:$D$55,Reference!$E$32:$E$55)</f>
        <v>None</v>
      </c>
      <c r="H343" s="66" t="s">
        <v>361</v>
      </c>
      <c r="I343" s="57" t="str">
        <f>IF(OR(E343="V",G343="V"),"V",IF(AND(E343="None",G343="None"),"None",(IF(E343="None",0,E343)+IF(G343="None",0,G343)+IF(H343="Yes",CharacterSheet!$V$34,0))))</f>
        <v>None</v>
      </c>
      <c r="J343" s="57" t="s">
        <v>361</v>
      </c>
      <c r="K343" s="66">
        <f>IF(J343="no",0,IF(OR(F343="None",F343="Cheval",F343="Legend",F343="Mystery",F343="Prophecy",F343="TsukumoGami"),0,IF(F343="Varies","V",IF(AND(G343=0,CharacterSheet!$R$36="No"),0,IF(AND(G343=0,CharacterSheet!$R$36="Yes"),LOOKUP(D343,Reference!$N$2:$N$10,Reference!$O$2:$O$10),IF(G343&gt;0,LOOKUP(D343,Reference!$N$2:$N$10,Reference!$P$2:$P$10),"ERROR"))))))</f>
        <v>0</v>
      </c>
      <c r="L343" s="66" t="s">
        <v>361</v>
      </c>
      <c r="M343" s="66">
        <f>IF(E343="V","V",IF(J343="Yes",K343,0)+IF(L343="Yes",CharacterSheet!D198,0))</f>
        <v>0</v>
      </c>
      <c r="N343" s="66" t="s">
        <v>1626</v>
      </c>
      <c r="O343" s="66" t="s">
        <v>508</v>
      </c>
      <c r="P343" s="66" t="s">
        <v>141</v>
      </c>
      <c r="Q343" s="188">
        <v>145</v>
      </c>
    </row>
    <row r="344" spans="1:17" x14ac:dyDescent="0.25">
      <c r="A344" s="86" t="s">
        <v>1271</v>
      </c>
      <c r="B344" s="39" t="s">
        <v>367</v>
      </c>
      <c r="C344" s="39">
        <v>9</v>
      </c>
      <c r="D344" s="66" t="s">
        <v>21</v>
      </c>
      <c r="E344" s="66">
        <f>LOOKUP(D344,Reference!$B$33:$B$46,Reference!$C$33:$C$46)</f>
        <v>1</v>
      </c>
      <c r="F344" s="66" t="s">
        <v>49</v>
      </c>
      <c r="G344" s="66">
        <f>LOOKUP(F344,Reference!$D$32:$D$55,Reference!$E$32:$E$55)</f>
        <v>0</v>
      </c>
      <c r="H344" s="66" t="s">
        <v>361</v>
      </c>
      <c r="I344" s="57">
        <f>IF(OR(E344="V",G344="V"),"V",IF(AND(E344="None",G344="None"),"None",(IF(E344="None",0,E344)+IF(G344="None",0,G344)+IF(H344="Yes",CharacterSheet!$V$34,0))))</f>
        <v>1</v>
      </c>
      <c r="J344" s="57" t="s">
        <v>360</v>
      </c>
      <c r="K344" s="66">
        <f>IF(J344="no",0,IF(OR(F344="None",F344="Cheval",F344="Legend",F344="Mystery",F344="Prophecy",F344="TsukumoGami"),0,IF(F344="Varies","V",IF(AND(G344=0,CharacterSheet!$R$36="No"),0,IF(AND(G344=0,CharacterSheet!$R$36="Yes"),LOOKUP(D344,Reference!$N$2:$N$10,Reference!$O$2:$O$10),IF(G344&gt;0,LOOKUP(D344,Reference!$N$2:$N$10,Reference!$P$2:$P$10),"ERROR"))))))</f>
        <v>0</v>
      </c>
      <c r="L344" s="66" t="s">
        <v>361</v>
      </c>
      <c r="M344" s="66">
        <f>IF(E344="V","V",IF(J344="Yes",K344,0)+IF(L344="Yes",CharacterSheet!D169,0))</f>
        <v>0</v>
      </c>
      <c r="N344" s="66" t="s">
        <v>1659</v>
      </c>
      <c r="O344" s="66" t="s">
        <v>1575</v>
      </c>
      <c r="P344" s="66" t="s">
        <v>5</v>
      </c>
      <c r="Q344" s="188">
        <v>83</v>
      </c>
    </row>
    <row r="345" spans="1:17" x14ac:dyDescent="0.25">
      <c r="A345" s="86" t="s">
        <v>1431</v>
      </c>
      <c r="B345" s="39" t="s">
        <v>380</v>
      </c>
      <c r="C345" s="39">
        <v>7</v>
      </c>
      <c r="D345" s="66" t="s">
        <v>508</v>
      </c>
      <c r="E345" s="66" t="str">
        <f>LOOKUP(D345,Reference!$B$33:$B$46,Reference!$C$33:$C$46)</f>
        <v>None</v>
      </c>
      <c r="F345" s="66" t="s">
        <v>508</v>
      </c>
      <c r="G345" s="66" t="str">
        <f>LOOKUP(F345,Reference!$D$32:$D$55,Reference!$E$32:$E$55)</f>
        <v>None</v>
      </c>
      <c r="H345" s="66" t="s">
        <v>361</v>
      </c>
      <c r="I345" s="57" t="str">
        <f>IF(OR(E345="V",G345="V"),"V",IF(AND(E345="None",G345="None"),"None",(IF(E345="None",0,E345)+IF(G345="None",0,G345)+IF(H345="Yes",CharacterSheet!$V$34,0))))</f>
        <v>None</v>
      </c>
      <c r="J345" s="57" t="s">
        <v>361</v>
      </c>
      <c r="K345" s="66">
        <f>IF(J345="no",0,IF(OR(F345="None",F345="Cheval",F345="Legend",F345="Mystery",F345="Prophecy",F345="TsukumoGami"),0,IF(F345="Varies","V",IF(AND(G345=0,CharacterSheet!$R$36="No"),0,IF(AND(G345=0,CharacterSheet!$R$36="Yes"),LOOKUP(D345,Reference!$N$2:$N$10,Reference!$O$2:$O$10),IF(G345&gt;0,LOOKUP(D345,Reference!$N$2:$N$10,Reference!$P$2:$P$10),"ERROR"))))))</f>
        <v>0</v>
      </c>
      <c r="L345" s="66" t="s">
        <v>361</v>
      </c>
      <c r="M345" s="66">
        <f>IF(E345="V","V",IF(J345="Yes",K345,0)+IF(L345="Yes",CharacterSheet!D395,0))</f>
        <v>0</v>
      </c>
      <c r="N345" s="66" t="s">
        <v>1075</v>
      </c>
      <c r="O345" s="66" t="s">
        <v>508</v>
      </c>
      <c r="P345" s="66" t="s">
        <v>1068</v>
      </c>
      <c r="Q345" s="188">
        <v>79</v>
      </c>
    </row>
    <row r="346" spans="1:17" x14ac:dyDescent="0.25">
      <c r="A346" s="86" t="s">
        <v>1422</v>
      </c>
      <c r="B346" s="39" t="s">
        <v>375</v>
      </c>
      <c r="C346" s="39">
        <v>2</v>
      </c>
      <c r="D346" s="66" t="s">
        <v>508</v>
      </c>
      <c r="E346" s="66" t="str">
        <f>LOOKUP(D346,Reference!$B$33:$B$46,Reference!$C$33:$C$46)</f>
        <v>None</v>
      </c>
      <c r="F346" s="66" t="s">
        <v>508</v>
      </c>
      <c r="G346" s="66" t="str">
        <f>LOOKUP(F346,Reference!$D$32:$D$55,Reference!$E$32:$E$55)</f>
        <v>None</v>
      </c>
      <c r="H346" s="66" t="s">
        <v>361</v>
      </c>
      <c r="I346" s="57" t="str">
        <f>IF(OR(E346="V",G346="V"),"V",IF(AND(E346="None",G346="None"),"None",(IF(E346="None",0,E346)+IF(G346="None",0,G346)+IF(H346="Yes",CharacterSheet!$V$34,0))))</f>
        <v>None</v>
      </c>
      <c r="J346" s="57" t="s">
        <v>361</v>
      </c>
      <c r="K346" s="66">
        <f>IF(J346="no",0,IF(OR(F346="None",F346="Cheval",F346="Legend",F346="Mystery",F346="Prophecy",F346="TsukumoGami"),0,IF(F346="Varies","V",IF(AND(G346=0,CharacterSheet!$R$36="No"),0,IF(AND(G346=0,CharacterSheet!$R$36="Yes"),LOOKUP(D346,Reference!$N$2:$N$10,Reference!$O$2:$O$10),IF(G346&gt;0,LOOKUP(D346,Reference!$N$2:$N$10,Reference!$P$2:$P$10),"ERROR"))))))</f>
        <v>0</v>
      </c>
      <c r="L346" s="66" t="s">
        <v>361</v>
      </c>
      <c r="M346" s="66">
        <f>IF(E346="V","V",IF(J346="Yes",K346,0)+IF(L346="Yes",CharacterSheet!V36,0))</f>
        <v>0</v>
      </c>
      <c r="N346" s="66" t="s">
        <v>1072</v>
      </c>
      <c r="O346" s="66" t="s">
        <v>508</v>
      </c>
      <c r="P346" s="66" t="s">
        <v>1068</v>
      </c>
      <c r="Q346" s="188">
        <v>76</v>
      </c>
    </row>
    <row r="347" spans="1:17" x14ac:dyDescent="0.25">
      <c r="A347" s="86" t="s">
        <v>1123</v>
      </c>
      <c r="B347" s="39" t="s">
        <v>377</v>
      </c>
      <c r="C347" s="39">
        <v>1</v>
      </c>
      <c r="D347" s="66" t="s">
        <v>508</v>
      </c>
      <c r="E347" s="66" t="str">
        <f>LOOKUP(D347,Reference!$B$33:$B$46,Reference!$C$33:$C$46)</f>
        <v>None</v>
      </c>
      <c r="F347" s="66" t="s">
        <v>508</v>
      </c>
      <c r="G347" s="66" t="str">
        <f>LOOKUP(F347,Reference!$D$32:$D$55,Reference!$E$32:$E$55)</f>
        <v>None</v>
      </c>
      <c r="H347" s="66" t="s">
        <v>361</v>
      </c>
      <c r="I347" s="57" t="str">
        <f>IF(OR(E347="V",G347="V"),"V",IF(AND(E347="None",G347="None"),"None",(IF(E347="None",0,E347)+IF(G347="None",0,G347)+IF(H347="Yes",CharacterSheet!$V$34,0))))</f>
        <v>None</v>
      </c>
      <c r="J347" s="57" t="s">
        <v>361</v>
      </c>
      <c r="K347" s="66">
        <f>IF(J347="no",0,IF(OR(F347="None",F347="Cheval",F347="Legend",F347="Mystery",F347="Prophecy",F347="TsukumoGami"),0,IF(F347="Varies","V",IF(AND(G347=0,CharacterSheet!$R$36="No"),0,IF(AND(G347=0,CharacterSheet!$R$36="Yes"),LOOKUP(D347,Reference!$N$2:$N$10,Reference!$O$2:$O$10),IF(G347&gt;0,LOOKUP(D347,Reference!$N$2:$N$10,Reference!$P$2:$P$10),"ERROR"))))))</f>
        <v>0</v>
      </c>
      <c r="L347" s="66" t="s">
        <v>361</v>
      </c>
      <c r="M347" s="66">
        <f>IF(E347="V","V",IF(J347="Yes",K347,0)+IF(L347="Yes",CharacterSheet!D147,0))</f>
        <v>0</v>
      </c>
      <c r="N347" s="66" t="s">
        <v>1072</v>
      </c>
      <c r="O347" s="66" t="s">
        <v>508</v>
      </c>
      <c r="P347" s="66" t="s">
        <v>141</v>
      </c>
      <c r="Q347" s="188">
        <v>146</v>
      </c>
    </row>
    <row r="348" spans="1:17" x14ac:dyDescent="0.25">
      <c r="A348" s="86" t="s">
        <v>1117</v>
      </c>
      <c r="B348" s="39" t="s">
        <v>375</v>
      </c>
      <c r="C348" s="39">
        <v>1</v>
      </c>
      <c r="D348" s="66" t="s">
        <v>508</v>
      </c>
      <c r="E348" s="66" t="str">
        <f>LOOKUP(D348,Reference!$B$33:$B$46,Reference!$C$33:$C$46)</f>
        <v>None</v>
      </c>
      <c r="F348" s="66" t="s">
        <v>508</v>
      </c>
      <c r="G348" s="66" t="str">
        <f>LOOKUP(F348,Reference!$D$32:$D$55,Reference!$E$32:$E$55)</f>
        <v>None</v>
      </c>
      <c r="H348" s="66" t="s">
        <v>361</v>
      </c>
      <c r="I348" s="57" t="str">
        <f>IF(OR(E348="V",G348="V"),"V",IF(AND(E348="None",G348="None"),"None",(IF(E348="None",0,E348)+IF(G348="None",0,G348)+IF(H348="Yes",CharacterSheet!$V$34,0))))</f>
        <v>None</v>
      </c>
      <c r="J348" s="57" t="s">
        <v>361</v>
      </c>
      <c r="K348" s="66">
        <f>IF(J348="no",0,IF(OR(F348="None",F348="Cheval",F348="Legend",F348="Mystery",F348="Prophecy",F348="TsukumoGami"),0,IF(F348="Varies","V",IF(AND(G348=0,CharacterSheet!$R$36="No"),0,IF(AND(G348=0,CharacterSheet!$R$36="Yes"),LOOKUP(D348,Reference!$N$2:$N$10,Reference!$O$2:$O$10),IF(G348&gt;0,LOOKUP(D348,Reference!$N$2:$N$10,Reference!$P$2:$P$10),"ERROR"))))))</f>
        <v>0</v>
      </c>
      <c r="L348" s="66" t="s">
        <v>361</v>
      </c>
      <c r="M348" s="66">
        <f>IF(E348="V","V",IF(J348="Yes",K348,0)+IF(L348="Yes",CharacterSheet!D364,0))</f>
        <v>0</v>
      </c>
      <c r="N348" s="66" t="s">
        <v>1072</v>
      </c>
      <c r="O348" s="66" t="s">
        <v>508</v>
      </c>
      <c r="P348" s="66" t="s">
        <v>141</v>
      </c>
      <c r="Q348" s="188">
        <v>145</v>
      </c>
    </row>
    <row r="349" spans="1:17" x14ac:dyDescent="0.25">
      <c r="A349" s="86" t="s">
        <v>1319</v>
      </c>
      <c r="B349" s="39" t="s">
        <v>379</v>
      </c>
      <c r="C349" s="39">
        <v>10</v>
      </c>
      <c r="D349" s="66" t="s">
        <v>13</v>
      </c>
      <c r="E349" s="66">
        <f>LOOKUP(D349,Reference!$B$33:$B$46,Reference!$C$33:$C$46)</f>
        <v>1</v>
      </c>
      <c r="F349" s="66" t="s">
        <v>49</v>
      </c>
      <c r="G349" s="66">
        <f>LOOKUP(F349,Reference!$D$32:$D$55,Reference!$E$32:$E$55)</f>
        <v>0</v>
      </c>
      <c r="H349" s="66" t="s">
        <v>361</v>
      </c>
      <c r="I349" s="57">
        <f>IF(OR(E349="V",G349="V"),"V",IF(AND(E349="None",G349="None"),"None",(IF(E349="None",0,E349)+IF(G349="None",0,G349)+IF(H349="Yes",CharacterSheet!$V$34,0))))</f>
        <v>1</v>
      </c>
      <c r="J349" s="57" t="s">
        <v>360</v>
      </c>
      <c r="K349" s="66">
        <f>IF(J349="no",0,IF(OR(F349="None",F349="Cheval",F349="Legend",F349="Mystery",F349="Prophecy",F349="TsukumoGami"),0,IF(F349="Varies","V",IF(AND(G349=0,CharacterSheet!$R$36="No"),0,IF(AND(G349=0,CharacterSheet!$R$36="Yes"),LOOKUP(D349,Reference!$N$2:$N$10,Reference!$O$2:$O$10),IF(G349&gt;0,LOOKUP(D349,Reference!$N$2:$N$10,Reference!$P$2:$P$10),"ERROR"))))))</f>
        <v>0</v>
      </c>
      <c r="L349" s="66" t="s">
        <v>361</v>
      </c>
      <c r="M349" s="66">
        <f>IF(E349="V","V",IF(J349="Yes",K349,0)+IF(L349="Yes",CharacterSheet!D146,0))</f>
        <v>0</v>
      </c>
      <c r="N349" s="66" t="s">
        <v>1652</v>
      </c>
      <c r="O349" s="66" t="s">
        <v>1623</v>
      </c>
      <c r="P349" s="66" t="s">
        <v>5</v>
      </c>
      <c r="Q349" s="188">
        <v>100</v>
      </c>
    </row>
    <row r="350" spans="1:17" x14ac:dyDescent="0.25">
      <c r="A350" s="86" t="s">
        <v>1220</v>
      </c>
      <c r="B350" s="39" t="s">
        <v>379</v>
      </c>
      <c r="C350" s="39">
        <v>6</v>
      </c>
      <c r="D350" s="66" t="s">
        <v>18</v>
      </c>
      <c r="E350" s="66">
        <f>LOOKUP(D350,Reference!$B$33:$B$46,Reference!$C$33:$C$46)</f>
        <v>1</v>
      </c>
      <c r="F350" s="66" t="s">
        <v>51</v>
      </c>
      <c r="G350" s="66">
        <f>LOOKUP(F350,Reference!$D$32:$D$55,Reference!$E$32:$E$55)</f>
        <v>0</v>
      </c>
      <c r="H350" s="66" t="s">
        <v>361</v>
      </c>
      <c r="I350" s="57">
        <f>IF(OR(E350="V",G350="V"),"V",IF(AND(E350="None",G350="None"),"None",(IF(E350="None",0,E350)+IF(G350="None",0,G350)+IF(H350="Yes",CharacterSheet!$V$34,0))))</f>
        <v>1</v>
      </c>
      <c r="J350" s="57" t="s">
        <v>360</v>
      </c>
      <c r="K350" s="66">
        <f>IF(J350="no",0,IF(OR(F350="None",F350="Cheval",F350="Legend",F350="Mystery",F350="Prophecy",F350="TsukumoGami"),0,IF(F350="Varies","V",IF(AND(G350=0,CharacterSheet!$R$36="No"),0,IF(AND(G350=0,CharacterSheet!$R$36="Yes"),LOOKUP(D350,Reference!$N$2:$N$10,Reference!$O$2:$O$10),IF(G350&gt;0,LOOKUP(D350,Reference!$N$2:$N$10,Reference!$P$2:$P$10),"ERROR"))))))</f>
        <v>0</v>
      </c>
      <c r="L350" s="66" t="s">
        <v>361</v>
      </c>
      <c r="M350" s="66">
        <f>IF(E350="V","V",IF(J350="Yes",K350,0)+IF(L350="Yes",CharacterSheet!D318,0))</f>
        <v>0</v>
      </c>
      <c r="N350" s="66" t="s">
        <v>1077</v>
      </c>
      <c r="O350" s="66" t="s">
        <v>1558</v>
      </c>
      <c r="P350" s="66" t="s">
        <v>1067</v>
      </c>
      <c r="Q350" s="188">
        <v>88</v>
      </c>
    </row>
    <row r="351" spans="1:17" x14ac:dyDescent="0.25">
      <c r="A351" s="86" t="s">
        <v>1424</v>
      </c>
      <c r="B351" s="39" t="s">
        <v>376</v>
      </c>
      <c r="C351" s="39">
        <v>4</v>
      </c>
      <c r="D351" s="66" t="s">
        <v>16</v>
      </c>
      <c r="E351" s="66">
        <f>LOOKUP(D351,Reference!$B$33:$B$46,Reference!$C$33:$C$46)</f>
        <v>1</v>
      </c>
      <c r="F351" s="66" t="s">
        <v>49</v>
      </c>
      <c r="G351" s="66">
        <f>LOOKUP(F351,Reference!$D$32:$D$55,Reference!$E$32:$E$55)</f>
        <v>0</v>
      </c>
      <c r="H351" s="66" t="s">
        <v>361</v>
      </c>
      <c r="I351" s="57">
        <f>IF(OR(E351="V",G351="V"),"V",IF(AND(E351="None",G351="None"),"None",(IF(E351="None",0,E351)+IF(G351="None",0,G351)+IF(H351="Yes",CharacterSheet!$V$34,0))))</f>
        <v>1</v>
      </c>
      <c r="J351" s="57" t="s">
        <v>360</v>
      </c>
      <c r="K351" s="66">
        <f>IF(J351="no",0,IF(OR(F351="None",F351="Cheval",F351="Legend",F351="Mystery",F351="Prophecy",F351="TsukumoGami"),0,IF(F351="Varies","V",IF(AND(G351=0,CharacterSheet!$R$36="No"),0,IF(AND(G351=0,CharacterSheet!$R$36="Yes"),LOOKUP(D351,Reference!$N$2:$N$10,Reference!$O$2:$O$10),IF(G351&gt;0,LOOKUP(D351,Reference!$N$2:$N$10,Reference!$P$2:$P$10),"ERROR"))))))</f>
        <v>0</v>
      </c>
      <c r="L351" s="66" t="s">
        <v>361</v>
      </c>
      <c r="M351" s="66">
        <f>IF(E351="V","V",IF(J351="Yes",K351,0)+IF(L351="Yes",CharacterSheet!D67,0))</f>
        <v>0</v>
      </c>
      <c r="N351" s="66" t="s">
        <v>1076</v>
      </c>
      <c r="O351" s="66" t="s">
        <v>1572</v>
      </c>
      <c r="P351" s="66" t="s">
        <v>1068</v>
      </c>
      <c r="Q351" s="188">
        <v>76</v>
      </c>
    </row>
    <row r="352" spans="1:17" x14ac:dyDescent="0.25">
      <c r="A352" s="86" t="s">
        <v>1421</v>
      </c>
      <c r="B352" s="39" t="s">
        <v>374</v>
      </c>
      <c r="C352" s="39">
        <v>7</v>
      </c>
      <c r="D352" s="66" t="s">
        <v>16</v>
      </c>
      <c r="E352" s="66">
        <f>LOOKUP(D352,Reference!$B$33:$B$46,Reference!$C$33:$C$46)</f>
        <v>1</v>
      </c>
      <c r="F352" s="66" t="s">
        <v>50</v>
      </c>
      <c r="G352" s="66">
        <f>LOOKUP(F352,Reference!$D$32:$D$55,Reference!$E$32:$E$55)</f>
        <v>0</v>
      </c>
      <c r="H352" s="66" t="s">
        <v>361</v>
      </c>
      <c r="I352" s="57">
        <f>IF(OR(E352="V",G352="V"),"V",IF(AND(E352="None",G352="None"),"None",(IF(E352="None",0,E352)+IF(G352="None",0,G352)+IF(H352="Yes",CharacterSheet!$V$34,0))))</f>
        <v>1</v>
      </c>
      <c r="J352" s="57" t="s">
        <v>360</v>
      </c>
      <c r="K352" s="66">
        <f>IF(J352="no",0,IF(OR(F352="None",F352="Cheval",F352="Legend",F352="Mystery",F352="Prophecy",F352="TsukumoGami"),0,IF(F352="Varies","V",IF(AND(G352=0,CharacterSheet!$R$36="No"),0,IF(AND(G352=0,CharacterSheet!$R$36="Yes"),LOOKUP(D352,Reference!$N$2:$N$10,Reference!$O$2:$O$10),IF(G352&gt;0,LOOKUP(D352,Reference!$N$2:$N$10,Reference!$P$2:$P$10),"ERROR"))))))</f>
        <v>0</v>
      </c>
      <c r="L352" s="66" t="s">
        <v>361</v>
      </c>
      <c r="M352" s="66">
        <f>IF(E352="V","V",IF(J352="Yes",K352,0)+IF(L352="Yes",CharacterSheet!D416,0))</f>
        <v>0</v>
      </c>
      <c r="N352" s="66" t="s">
        <v>1695</v>
      </c>
      <c r="O352" s="66" t="s">
        <v>1710</v>
      </c>
      <c r="P352" s="66" t="s">
        <v>1068</v>
      </c>
      <c r="Q352" s="188">
        <v>75</v>
      </c>
    </row>
    <row r="353" spans="1:17" x14ac:dyDescent="0.25">
      <c r="A353" s="87" t="s">
        <v>1502</v>
      </c>
      <c r="B353" s="39" t="s">
        <v>378</v>
      </c>
      <c r="C353" s="39">
        <v>7</v>
      </c>
      <c r="D353" s="66" t="s">
        <v>508</v>
      </c>
      <c r="E353" s="66" t="str">
        <f>LOOKUP(D353,Reference!$B$33:$B$46,Reference!$C$33:$C$46)</f>
        <v>None</v>
      </c>
      <c r="F353" s="66" t="s">
        <v>508</v>
      </c>
      <c r="G353" s="66" t="str">
        <f>LOOKUP(F353,Reference!$D$32:$D$55,Reference!$E$32:$E$55)</f>
        <v>None</v>
      </c>
      <c r="H353" s="66" t="s">
        <v>361</v>
      </c>
      <c r="I353" s="57" t="str">
        <f>IF(OR(E353="V",G353="V"),"V",IF(AND(E353="None",G353="None"),"None",(IF(E353="None",0,E353)+IF(G353="None",0,G353)+IF(H353="Yes",CharacterSheet!$V$34,0))))</f>
        <v>None</v>
      </c>
      <c r="J353" s="57" t="s">
        <v>361</v>
      </c>
      <c r="K353" s="66">
        <f>IF(J353="no",0,IF(OR(F353="None",F353="Cheval",F353="Legend",F353="Mystery",F353="Prophecy",F353="TsukumoGami"),0,IF(F353="Varies","V",IF(AND(G353=0,CharacterSheet!$R$36="No"),0,IF(AND(G353=0,CharacterSheet!$R$36="Yes"),LOOKUP(D353,Reference!$N$2:$N$10,Reference!$O$2:$O$10),IF(G353&gt;0,LOOKUP(D353,Reference!$N$2:$N$10,Reference!$P$2:$P$10),"ERROR"))))))</f>
        <v>0</v>
      </c>
      <c r="L353" s="66" t="s">
        <v>361</v>
      </c>
      <c r="M353" s="66">
        <f>IF(E353="V","V",IF(J353="Yes",K353,0)+IF(L353="Yes",CharacterSheet!D163,0))</f>
        <v>0</v>
      </c>
      <c r="N353" s="66" t="s">
        <v>1698</v>
      </c>
      <c r="O353" s="66" t="s">
        <v>508</v>
      </c>
      <c r="P353" s="66" t="s">
        <v>1485</v>
      </c>
      <c r="Q353" s="188">
        <v>18</v>
      </c>
    </row>
    <row r="354" spans="1:17" x14ac:dyDescent="0.25">
      <c r="A354" s="86" t="s">
        <v>1441</v>
      </c>
      <c r="B354" s="39" t="s">
        <v>385</v>
      </c>
      <c r="C354" s="39">
        <v>8</v>
      </c>
      <c r="D354" s="66" t="s">
        <v>17</v>
      </c>
      <c r="E354" s="66">
        <f>LOOKUP(D354,Reference!$B$33:$B$46,Reference!$C$33:$C$46)</f>
        <v>1</v>
      </c>
      <c r="F354" s="66" t="s">
        <v>52</v>
      </c>
      <c r="G354" s="66">
        <f>LOOKUP(F354,Reference!$D$32:$D$55,Reference!$E$32:$E$55)</f>
        <v>0</v>
      </c>
      <c r="H354" s="66" t="s">
        <v>361</v>
      </c>
      <c r="I354" s="57">
        <f>IF(OR(E354="V",G354="V"),"V",IF(AND(E354="None",G354="None"),"None",(IF(E354="None",0,E354)+IF(G354="None",0,G354)+IF(H354="Yes",CharacterSheet!$V$34,0))))</f>
        <v>1</v>
      </c>
      <c r="J354" s="57" t="s">
        <v>360</v>
      </c>
      <c r="K354" s="66">
        <f>IF(J354="no",0,IF(OR(F354="None",F354="Cheval",F354="Legend",F354="Mystery",F354="Prophecy",F354="TsukumoGami"),0,IF(F354="Varies","V",IF(AND(G354=0,CharacterSheet!$R$36="No"),0,IF(AND(G354=0,CharacterSheet!$R$36="Yes"),LOOKUP(D354,Reference!$N$2:$N$10,Reference!$O$2:$O$10),IF(G354&gt;0,LOOKUP(D354,Reference!$N$2:$N$10,Reference!$P$2:$P$10),"ERROR"))))))</f>
        <v>0</v>
      </c>
      <c r="L354" s="66" t="s">
        <v>361</v>
      </c>
      <c r="M354" s="66">
        <f>IF(E354="V","V",IF(J354="Yes",K354,0)+IF(L354="Yes",CharacterSheet!D205,0))</f>
        <v>0</v>
      </c>
      <c r="N354" s="66" t="s">
        <v>1689</v>
      </c>
      <c r="O354" s="66" t="s">
        <v>1717</v>
      </c>
      <c r="P354" s="66" t="s">
        <v>1068</v>
      </c>
      <c r="Q354" s="188">
        <v>82</v>
      </c>
    </row>
    <row r="355" spans="1:17" x14ac:dyDescent="0.25">
      <c r="A355" s="86" t="s">
        <v>1499</v>
      </c>
      <c r="B355" s="39" t="s">
        <v>378</v>
      </c>
      <c r="C355" s="39">
        <v>4</v>
      </c>
      <c r="D355" s="66" t="s">
        <v>19</v>
      </c>
      <c r="E355" s="66">
        <f>LOOKUP(D355,Reference!$B$33:$B$46,Reference!$C$33:$C$46)</f>
        <v>1</v>
      </c>
      <c r="F355" s="66" t="s">
        <v>60</v>
      </c>
      <c r="G355" s="66">
        <f>LOOKUP(F355,Reference!$D$32:$D$55,Reference!$E$32:$E$55)</f>
        <v>0</v>
      </c>
      <c r="H355" s="66" t="s">
        <v>360</v>
      </c>
      <c r="I355" s="57">
        <f>IF(OR(E355="V",G355="V"),"V",IF(AND(E355="None",G355="None"),"None",(IF(E355="None",0,E355)+IF(G355="None",0,G355)+IF(H355="Yes",CharacterSheet!$V$34,0))))</f>
        <v>3</v>
      </c>
      <c r="J355" s="57" t="s">
        <v>360</v>
      </c>
      <c r="K355" s="66">
        <f>IF(J355="no",0,IF(OR(F355="None",F355="Cheval",F355="Legend",F355="Mystery",F355="Prophecy",F355="TsukumoGami"),0,IF(F355="Varies","V",IF(AND(G355=0,CharacterSheet!$R$36="No"),0,IF(AND(G355=0,CharacterSheet!$R$36="Yes"),LOOKUP(D355,Reference!$N$2:$N$10,Reference!$O$2:$O$10),IF(G355&gt;0,LOOKUP(D355,Reference!$N$2:$N$10,Reference!$P$2:$P$10),"ERROR"))))))</f>
        <v>0</v>
      </c>
      <c r="L355" s="66" t="s">
        <v>361</v>
      </c>
      <c r="M355" s="66">
        <f>IF(E355="V","V",IF(J355="Yes",K355,0)+IF(L355="Yes",CharacterSheet!D103,0))</f>
        <v>0</v>
      </c>
      <c r="N355" s="66" t="s">
        <v>1086</v>
      </c>
      <c r="O355" s="66" t="s">
        <v>1696</v>
      </c>
      <c r="P355" s="66" t="s">
        <v>1485</v>
      </c>
      <c r="Q355" s="188">
        <v>17</v>
      </c>
    </row>
    <row r="356" spans="1:17" x14ac:dyDescent="0.25">
      <c r="A356" s="87" t="s">
        <v>1520</v>
      </c>
      <c r="B356" s="66" t="s">
        <v>703</v>
      </c>
      <c r="C356" s="39">
        <v>2</v>
      </c>
      <c r="D356" s="66" t="s">
        <v>17</v>
      </c>
      <c r="E356" s="66">
        <f>LOOKUP(D356,Reference!$B$33:$B$46,Reference!$C$33:$C$46)</f>
        <v>1</v>
      </c>
      <c r="F356" s="66" t="s">
        <v>51</v>
      </c>
      <c r="G356" s="66">
        <f>LOOKUP(F356,Reference!$D$32:$D$55,Reference!$E$32:$E$55)</f>
        <v>0</v>
      </c>
      <c r="H356" s="66" t="s">
        <v>361</v>
      </c>
      <c r="I356" s="57">
        <f>IF(OR(E356="V",G356="V"),"V",IF(AND(E356="None",G356="None"),"None",(IF(E356="None",0,E356)+IF(G356="None",0,G356)+IF(H356="Yes",CharacterSheet!$V$34,0))))</f>
        <v>1</v>
      </c>
      <c r="J356" s="57" t="s">
        <v>360</v>
      </c>
      <c r="K356" s="66">
        <f>IF(J356="no",0,IF(OR(F356="None",F356="Cheval",F356="Legend",F356="Mystery",F356="Prophecy",F356="TsukumoGami"),0,IF(F356="Varies","V",IF(AND(G356=0,CharacterSheet!$R$36="No"),0,IF(AND(G356=0,CharacterSheet!$R$36="Yes"),LOOKUP(D356,Reference!$N$2:$N$10,Reference!$O$2:$O$10),IF(G356&gt;0,LOOKUP(D356,Reference!$N$2:$N$10,Reference!$P$2:$P$10),"ERROR"))))))</f>
        <v>0</v>
      </c>
      <c r="L356" s="66" t="s">
        <v>361</v>
      </c>
      <c r="M356" s="66">
        <f>IF(E356="V","V",IF(J356="Yes",K356,0)+IF(L356="Yes",CharacterSheet!D483,0))</f>
        <v>0</v>
      </c>
      <c r="N356" s="66" t="s">
        <v>1625</v>
      </c>
      <c r="O356" s="66" t="s">
        <v>1576</v>
      </c>
      <c r="P356" s="66" t="s">
        <v>1507</v>
      </c>
      <c r="Q356" s="188">
        <v>39</v>
      </c>
    </row>
    <row r="357" spans="1:17" x14ac:dyDescent="0.25">
      <c r="A357" s="86" t="s">
        <v>1125</v>
      </c>
      <c r="B357" s="39" t="s">
        <v>377</v>
      </c>
      <c r="C357" s="39">
        <v>3</v>
      </c>
      <c r="D357" s="66" t="s">
        <v>18</v>
      </c>
      <c r="E357" s="66">
        <f>LOOKUP(D357,Reference!$B$33:$B$46,Reference!$C$33:$C$46)</f>
        <v>1</v>
      </c>
      <c r="F357" s="66" t="s">
        <v>51</v>
      </c>
      <c r="G357" s="66">
        <f>LOOKUP(F357,Reference!$D$32:$D$55,Reference!$E$32:$E$55)</f>
        <v>0</v>
      </c>
      <c r="H357" s="66" t="s">
        <v>361</v>
      </c>
      <c r="I357" s="57">
        <f>IF(OR(E357="V",G357="V"),"V",IF(AND(E357="None",G357="None"),"None",(IF(E357="None",0,E357)+IF(G357="None",0,G357)+IF(H357="Yes",CharacterSheet!$V$34,0))))</f>
        <v>1</v>
      </c>
      <c r="J357" s="57" t="s">
        <v>360</v>
      </c>
      <c r="K357" s="66">
        <f>IF(J357="no",0,IF(OR(F357="None",F357="Cheval",F357="Legend",F357="Mystery",F357="Prophecy",F357="TsukumoGami"),0,IF(F357="Varies","V",IF(AND(G357=0,CharacterSheet!$R$36="No"),0,IF(AND(G357=0,CharacterSheet!$R$36="Yes"),LOOKUP(D357,Reference!$N$2:$N$10,Reference!$O$2:$O$10),IF(G357&gt;0,LOOKUP(D357,Reference!$N$2:$N$10,Reference!$P$2:$P$10),"ERROR"))))))</f>
        <v>0</v>
      </c>
      <c r="L357" s="66" t="s">
        <v>361</v>
      </c>
      <c r="M357" s="66">
        <f>IF(E357="V","V",IF(J357="Yes",K357,0)+IF(L357="Yes",CharacterSheet!D185,0))</f>
        <v>0</v>
      </c>
      <c r="N357" s="66" t="s">
        <v>1557</v>
      </c>
      <c r="O357" s="66" t="s">
        <v>1558</v>
      </c>
      <c r="P357" s="66" t="s">
        <v>141</v>
      </c>
      <c r="Q357" s="188">
        <v>146</v>
      </c>
    </row>
    <row r="358" spans="1:17" x14ac:dyDescent="0.25">
      <c r="A358" s="86" t="s">
        <v>1464</v>
      </c>
      <c r="B358" s="39" t="s">
        <v>376</v>
      </c>
      <c r="C358" s="39">
        <v>5</v>
      </c>
      <c r="D358" s="66" t="s">
        <v>20</v>
      </c>
      <c r="E358" s="66">
        <f>LOOKUP(D358,Reference!$B$33:$B$46,Reference!$C$33:$C$46)</f>
        <v>1</v>
      </c>
      <c r="F358" s="66" t="s">
        <v>40</v>
      </c>
      <c r="G358" s="66">
        <f>LOOKUP(F358,Reference!$D$32:$D$55,Reference!$E$32:$E$55)</f>
        <v>0</v>
      </c>
      <c r="H358" s="66" t="s">
        <v>361</v>
      </c>
      <c r="I358" s="57">
        <f>IF(OR(E358="V",G358="V"),"V",IF(AND(E358="None",G358="None"),"None",(IF(E358="None",0,E358)+IF(G358="None",0,G358)+IF(H358="Yes",CharacterSheet!$V$34,0))))</f>
        <v>1</v>
      </c>
      <c r="J358" s="57" t="s">
        <v>360</v>
      </c>
      <c r="K358" s="66">
        <f>IF(J358="no",0,IF(OR(F358="None",F358="Cheval",F358="Legend",F358="Mystery",F358="Prophecy",F358="TsukumoGami"),0,IF(F358="Varies","V",IF(AND(G358=0,CharacterSheet!$R$36="No"),0,IF(AND(G358=0,CharacterSheet!$R$36="Yes"),LOOKUP(D358,Reference!$N$2:$N$10,Reference!$O$2:$O$10),IF(G358&gt;0,LOOKUP(D358,Reference!$N$2:$N$10,Reference!$P$2:$P$10),"ERROR"))))))</f>
        <v>0</v>
      </c>
      <c r="L358" s="66" t="s">
        <v>361</v>
      </c>
      <c r="M358" s="66">
        <f>IF(E358="V","V",IF(J358="Yes",K358,0)+IF(L358="Yes",CharacterSheet!D228,0))</f>
        <v>0</v>
      </c>
      <c r="N358" s="66" t="s">
        <v>1725</v>
      </c>
      <c r="O358" s="66" t="s">
        <v>1726</v>
      </c>
      <c r="P358" s="66" t="s">
        <v>1068</v>
      </c>
      <c r="Q358" s="188">
        <v>228</v>
      </c>
    </row>
    <row r="359" spans="1:17" x14ac:dyDescent="0.25">
      <c r="A359" s="86" t="s">
        <v>1274</v>
      </c>
      <c r="B359" s="39" t="s">
        <v>368</v>
      </c>
      <c r="C359" s="39">
        <v>8</v>
      </c>
      <c r="D359" s="66" t="s">
        <v>21</v>
      </c>
      <c r="E359" s="66">
        <f>LOOKUP(D359,Reference!$B$33:$B$46,Reference!$C$33:$C$46)</f>
        <v>1</v>
      </c>
      <c r="F359" s="66" t="s">
        <v>47</v>
      </c>
      <c r="G359" s="66">
        <f>LOOKUP(F359,Reference!$D$32:$D$55,Reference!$E$32:$E$55)</f>
        <v>0</v>
      </c>
      <c r="H359" s="66" t="s">
        <v>361</v>
      </c>
      <c r="I359" s="57">
        <f>IF(OR(E359="V",G359="V"),"V",IF(AND(E359="None",G359="None"),"None",(IF(E359="None",0,E359)+IF(G359="None",0,G359)+IF(H359="Yes",CharacterSheet!$V$34,0))))</f>
        <v>1</v>
      </c>
      <c r="J359" s="57" t="s">
        <v>360</v>
      </c>
      <c r="K359" s="66">
        <f>IF(J359="no",0,IF(OR(F359="None",F359="Cheval",F359="Legend",F359="Mystery",F359="Prophecy",F359="TsukumoGami"),0,IF(F359="Varies","V",IF(AND(G359=0,CharacterSheet!$R$36="No"),0,IF(AND(G359=0,CharacterSheet!$R$36="Yes"),LOOKUP(D359,Reference!$N$2:$N$10,Reference!$O$2:$O$10),IF(G359&gt;0,LOOKUP(D359,Reference!$N$2:$N$10,Reference!$P$2:$P$10),"ERROR"))))))</f>
        <v>0</v>
      </c>
      <c r="L359" s="66" t="s">
        <v>361</v>
      </c>
      <c r="M359" s="66">
        <f>IF(E359="V","V",IF(J359="Yes",K359,0)+IF(L359="Yes",CharacterSheet!D279,0))</f>
        <v>0</v>
      </c>
      <c r="N359" s="66" t="s">
        <v>1648</v>
      </c>
      <c r="O359" s="66" t="s">
        <v>1680</v>
      </c>
      <c r="P359" s="66" t="s">
        <v>5</v>
      </c>
      <c r="Q359" s="188">
        <v>84</v>
      </c>
    </row>
    <row r="360" spans="1:17" x14ac:dyDescent="0.25">
      <c r="A360" s="86" t="s">
        <v>1280</v>
      </c>
      <c r="B360" s="39" t="s">
        <v>369</v>
      </c>
      <c r="C360" s="39">
        <v>10</v>
      </c>
      <c r="D360" s="66" t="s">
        <v>17</v>
      </c>
      <c r="E360" s="66">
        <f>LOOKUP(D360,Reference!$B$33:$B$46,Reference!$C$33:$C$46)</f>
        <v>1</v>
      </c>
      <c r="F360" s="66" t="s">
        <v>47</v>
      </c>
      <c r="G360" s="66">
        <f>LOOKUP(F360,Reference!$D$32:$D$55,Reference!$E$32:$E$55)</f>
        <v>0</v>
      </c>
      <c r="H360" s="66" t="s">
        <v>361</v>
      </c>
      <c r="I360" s="57">
        <f>IF(OR(E360="V",G360="V"),"V",IF(AND(E360="None",G360="None"),"None",(IF(E360="None",0,E360)+IF(G360="None",0,G360)+IF(H360="Yes",CharacterSheet!$V$34,0))))</f>
        <v>1</v>
      </c>
      <c r="J360" s="57" t="s">
        <v>360</v>
      </c>
      <c r="K360" s="66">
        <f>IF(J360="no",0,IF(OR(F360="None",F360="Cheval",F360="Legend",F360="Mystery",F360="Prophecy",F360="TsukumoGami"),0,IF(F360="Varies","V",IF(AND(G360=0,CharacterSheet!$R$36="No"),0,IF(AND(G360=0,CharacterSheet!$R$36="Yes"),LOOKUP(D360,Reference!$N$2:$N$10,Reference!$O$2:$O$10),IF(G360&gt;0,LOOKUP(D360,Reference!$N$2:$N$10,Reference!$P$2:$P$10),"ERROR"))))))</f>
        <v>0</v>
      </c>
      <c r="L360" s="66" t="s">
        <v>361</v>
      </c>
      <c r="M360" s="66">
        <f>IF(E360="V","V",IF(J360="Yes",K360,0)+IF(L360="Yes",CharacterSheet!D314,0))</f>
        <v>0</v>
      </c>
      <c r="N360" s="66" t="s">
        <v>1075</v>
      </c>
      <c r="O360" s="66" t="s">
        <v>1607</v>
      </c>
      <c r="P360" s="66" t="s">
        <v>5</v>
      </c>
      <c r="Q360" s="188">
        <v>86</v>
      </c>
    </row>
    <row r="361" spans="1:17" x14ac:dyDescent="0.25">
      <c r="A361" s="86" t="s">
        <v>1178</v>
      </c>
      <c r="B361" s="39" t="s">
        <v>369</v>
      </c>
      <c r="C361" s="39">
        <v>4</v>
      </c>
      <c r="D361" s="66" t="s">
        <v>16</v>
      </c>
      <c r="E361" s="66">
        <f>LOOKUP(D361,Reference!$B$33:$B$46,Reference!$C$33:$C$46)</f>
        <v>1</v>
      </c>
      <c r="F361" s="66" t="s">
        <v>49</v>
      </c>
      <c r="G361" s="66">
        <f>LOOKUP(F361,Reference!$D$32:$D$55,Reference!$E$32:$E$55)</f>
        <v>0</v>
      </c>
      <c r="H361" s="66" t="s">
        <v>361</v>
      </c>
      <c r="I361" s="57">
        <f>IF(OR(E361="V",G361="V"),"V",IF(AND(E361="None",G361="None"),"None",(IF(E361="None",0,E361)+IF(G361="None",0,G361)+IF(H361="Yes",CharacterSheet!$V$34,0))))</f>
        <v>1</v>
      </c>
      <c r="J361" s="57" t="s">
        <v>360</v>
      </c>
      <c r="K361" s="66">
        <f>IF(J361="no",0,IF(OR(F361="None",F361="Cheval",F361="Legend",F361="Mystery",F361="Prophecy",F361="TsukumoGami"),0,IF(F361="Varies","V",IF(AND(G361=0,CharacterSheet!$R$36="No"),0,IF(AND(G361=0,CharacterSheet!$R$36="Yes"),LOOKUP(D361,Reference!$N$2:$N$10,Reference!$O$2:$O$10),IF(G361&gt;0,LOOKUP(D361,Reference!$N$2:$N$10,Reference!$P$2:$P$10),"ERROR"))))))</f>
        <v>0</v>
      </c>
      <c r="L361" s="66" t="s">
        <v>361</v>
      </c>
      <c r="M361" s="66">
        <f>IF(E361="V","V",IF(J361="Yes",K361,0)+IF(L361="Yes",CharacterSheet!D303,0))</f>
        <v>0</v>
      </c>
      <c r="N361" s="66" t="s">
        <v>1072</v>
      </c>
      <c r="O361" s="66" t="s">
        <v>1572</v>
      </c>
      <c r="P361" s="66" t="s">
        <v>1067</v>
      </c>
      <c r="Q361" s="188">
        <v>74</v>
      </c>
    </row>
    <row r="362" spans="1:17" x14ac:dyDescent="0.25">
      <c r="A362" s="86" t="s">
        <v>1221</v>
      </c>
      <c r="B362" s="39" t="s">
        <v>379</v>
      </c>
      <c r="C362" s="39">
        <v>7</v>
      </c>
      <c r="D362" s="66" t="s">
        <v>30</v>
      </c>
      <c r="E362" s="66">
        <f>LOOKUP(D362,Reference!$B$33:$B$46,Reference!$C$33:$C$46)</f>
        <v>1</v>
      </c>
      <c r="F362" s="66" t="s">
        <v>56</v>
      </c>
      <c r="G362" s="66">
        <f>LOOKUP(F362,Reference!$D$32:$D$55,Reference!$E$32:$E$55)</f>
        <v>0</v>
      </c>
      <c r="H362" s="66" t="s">
        <v>361</v>
      </c>
      <c r="I362" s="57">
        <f>IF(OR(E362="V",G362="V"),"V",IF(AND(E362="None",G362="None"),"None",(IF(E362="None",0,E362)+IF(G362="None",0,G362)+IF(H362="Yes",CharacterSheet!$V$34,0))))</f>
        <v>1</v>
      </c>
      <c r="J362" s="57" t="s">
        <v>360</v>
      </c>
      <c r="K362" s="66">
        <f>IF(J362="no",0,IF(OR(F362="None",F362="Cheval",F362="Legend",F362="Mystery",F362="Prophecy",F362="TsukumoGami"),0,IF(F362="Varies","V",IF(AND(G362=0,CharacterSheet!$R$36="No"),0,IF(AND(G362=0,CharacterSheet!$R$36="Yes"),LOOKUP(D362,Reference!$N$2:$N$10,Reference!$O$2:$O$10),IF(G362&gt;0,LOOKUP(D362,Reference!$N$2:$N$10,Reference!$P$2:$P$10),"ERROR"))))))</f>
        <v>0</v>
      </c>
      <c r="L362" s="66" t="s">
        <v>361</v>
      </c>
      <c r="M362" s="66">
        <f>IF(E362="V","V",IF(J362="Yes",K362,0)+IF(L362="Yes",CharacterSheet!D255,0))</f>
        <v>0</v>
      </c>
      <c r="N362" s="66" t="s">
        <v>1584</v>
      </c>
      <c r="O362" s="66" t="s">
        <v>1611</v>
      </c>
      <c r="P362" s="66" t="s">
        <v>1067</v>
      </c>
      <c r="Q362" s="188">
        <v>88</v>
      </c>
    </row>
    <row r="363" spans="1:17" x14ac:dyDescent="0.25">
      <c r="A363" s="86" t="s">
        <v>1246</v>
      </c>
      <c r="B363" s="39" t="s">
        <v>163</v>
      </c>
      <c r="C363" s="39">
        <v>4</v>
      </c>
      <c r="D363" s="66" t="s">
        <v>508</v>
      </c>
      <c r="E363" s="66" t="str">
        <f>LOOKUP(D363,Reference!$B$33:$B$46,Reference!$C$33:$C$46)</f>
        <v>None</v>
      </c>
      <c r="F363" s="66" t="s">
        <v>508</v>
      </c>
      <c r="G363" s="66" t="str">
        <f>LOOKUP(F363,Reference!$D$32:$D$55,Reference!$E$32:$E$55)</f>
        <v>None</v>
      </c>
      <c r="H363" s="66" t="s">
        <v>361</v>
      </c>
      <c r="I363" s="57" t="str">
        <f>IF(OR(E363="V",G363="V"),"V",IF(AND(E363="None",G363="None"),"None",(IF(E363="None",0,E363)+IF(G363="None",0,G363)+IF(H363="Yes",CharacterSheet!$V$34,0))))</f>
        <v>None</v>
      </c>
      <c r="J363" s="57" t="s">
        <v>361</v>
      </c>
      <c r="K363" s="66">
        <f>IF(J363="no",0,IF(OR(F363="None",F363="Cheval",F363="Legend",F363="Mystery",F363="Prophecy",F363="TsukumoGami"),0,IF(F363="Varies","V",IF(AND(G363=0,CharacterSheet!$R$36="No"),0,IF(AND(G363=0,CharacterSheet!$R$36="Yes"),LOOKUP(D363,Reference!$N$2:$N$10,Reference!$O$2:$O$10),IF(G363&gt;0,LOOKUP(D363,Reference!$N$2:$N$10,Reference!$P$2:$P$10),"ERROR"))))))</f>
        <v>0</v>
      </c>
      <c r="L363" s="66" t="s">
        <v>361</v>
      </c>
      <c r="M363" s="66">
        <f>IF(E363="V","V",IF(J363="Yes",K363,0)+IF(L363="Yes",CharacterSheet!D58,0))</f>
        <v>0</v>
      </c>
      <c r="N363" s="66" t="s">
        <v>1596</v>
      </c>
      <c r="O363" s="66" t="s">
        <v>508</v>
      </c>
      <c r="P363" s="66" t="s">
        <v>1067</v>
      </c>
      <c r="Q363" s="188">
        <v>95</v>
      </c>
    </row>
    <row r="364" spans="1:17" x14ac:dyDescent="0.25">
      <c r="A364" s="86" t="s">
        <v>1247</v>
      </c>
      <c r="B364" s="39" t="s">
        <v>163</v>
      </c>
      <c r="C364" s="39">
        <v>5</v>
      </c>
      <c r="D364" s="66" t="s">
        <v>508</v>
      </c>
      <c r="E364" s="66" t="str">
        <f>LOOKUP(D364,Reference!$B$33:$B$46,Reference!$C$33:$C$46)</f>
        <v>None</v>
      </c>
      <c r="F364" s="66" t="s">
        <v>508</v>
      </c>
      <c r="G364" s="66" t="str">
        <f>LOOKUP(F364,Reference!$D$32:$D$55,Reference!$E$32:$E$55)</f>
        <v>None</v>
      </c>
      <c r="H364" s="66" t="s">
        <v>361</v>
      </c>
      <c r="I364" s="57" t="str">
        <f>IF(OR(E364="V",G364="V"),"V",IF(AND(E364="None",G364="None"),"None",(IF(E364="None",0,E364)+IF(G364="None",0,G364)+IF(H364="Yes",CharacterSheet!$V$34,0))))</f>
        <v>None</v>
      </c>
      <c r="J364" s="57" t="s">
        <v>361</v>
      </c>
      <c r="K364" s="66">
        <f>IF(J364="no",0,IF(OR(F364="None",F364="Cheval",F364="Legend",F364="Mystery",F364="Prophecy",F364="TsukumoGami"),0,IF(F364="Varies","V",IF(AND(G364=0,CharacterSheet!$R$36="No"),0,IF(AND(G364=0,CharacterSheet!$R$36="Yes"),LOOKUP(D364,Reference!$N$2:$N$10,Reference!$O$2:$O$10),IF(G364&gt;0,LOOKUP(D364,Reference!$N$2:$N$10,Reference!$P$2:$P$10),"ERROR"))))))</f>
        <v>0</v>
      </c>
      <c r="L364" s="66" t="s">
        <v>361</v>
      </c>
      <c r="M364" s="66">
        <f>IF(E364="V","V",IF(J364="Yes",K364,0)+IF(L364="Yes",CharacterSheet!D59,0))</f>
        <v>0</v>
      </c>
      <c r="N364" s="66" t="s">
        <v>1597</v>
      </c>
      <c r="O364" s="66" t="s">
        <v>508</v>
      </c>
      <c r="P364" s="66" t="s">
        <v>1067</v>
      </c>
      <c r="Q364" s="188">
        <v>95</v>
      </c>
    </row>
    <row r="365" spans="1:17" x14ac:dyDescent="0.25">
      <c r="A365" s="86" t="s">
        <v>1469</v>
      </c>
      <c r="B365" s="39" t="s">
        <v>194</v>
      </c>
      <c r="C365" s="39">
        <v>5</v>
      </c>
      <c r="D365" s="66" t="s">
        <v>20</v>
      </c>
      <c r="E365" s="66">
        <f>LOOKUP(D365,Reference!$B$33:$B$46,Reference!$C$33:$C$46)</f>
        <v>1</v>
      </c>
      <c r="F365" s="66" t="s">
        <v>50</v>
      </c>
      <c r="G365" s="66">
        <f>LOOKUP(F365,Reference!$D$32:$D$55,Reference!$E$32:$E$55)</f>
        <v>0</v>
      </c>
      <c r="H365" s="66" t="s">
        <v>361</v>
      </c>
      <c r="I365" s="57">
        <f>IF(OR(E365="V",G365="V"),"V",IF(AND(E365="None",G365="None"),"None",(IF(E365="None",0,E365)+IF(G365="None",0,G365)+IF(H365="Yes",CharacterSheet!$V$34,0))))</f>
        <v>1</v>
      </c>
      <c r="J365" s="57" t="s">
        <v>360</v>
      </c>
      <c r="K365" s="66">
        <f>IF(J365="no",0,IF(OR(F365="None",F365="Cheval",F365="Legend",F365="Mystery",F365="Prophecy",F365="TsukumoGami"),0,IF(F365="Varies","V",IF(AND(G365=0,CharacterSheet!$R$36="No"),0,IF(AND(G365=0,CharacterSheet!$R$36="Yes"),LOOKUP(D365,Reference!$N$2:$N$10,Reference!$O$2:$O$10),IF(G365&gt;0,LOOKUP(D365,Reference!$N$2:$N$10,Reference!$P$2:$P$10),"ERROR"))))))</f>
        <v>0</v>
      </c>
      <c r="L365" s="66" t="s">
        <v>361</v>
      </c>
      <c r="M365" s="66">
        <f>IF(E365="V","V",IF(J365="Yes",K365,0)+IF(L365="Yes",CharacterSheet!D75,0))</f>
        <v>0</v>
      </c>
      <c r="N365" s="66" t="s">
        <v>1721</v>
      </c>
      <c r="O365" s="66" t="s">
        <v>1729</v>
      </c>
      <c r="P365" s="66" t="s">
        <v>1068</v>
      </c>
      <c r="Q365" s="188">
        <v>229</v>
      </c>
    </row>
    <row r="366" spans="1:17" x14ac:dyDescent="0.25">
      <c r="A366" s="86" t="s">
        <v>1323</v>
      </c>
      <c r="B366" s="39" t="s">
        <v>380</v>
      </c>
      <c r="C366" s="39">
        <v>10</v>
      </c>
      <c r="D366" s="66" t="s">
        <v>17</v>
      </c>
      <c r="E366" s="66">
        <f>LOOKUP(D366,Reference!$B$33:$B$46,Reference!$C$33:$C$46)</f>
        <v>1</v>
      </c>
      <c r="F366" s="66" t="s">
        <v>40</v>
      </c>
      <c r="G366" s="66">
        <f>LOOKUP(F366,Reference!$D$32:$D$55,Reference!$E$32:$E$55)</f>
        <v>0</v>
      </c>
      <c r="H366" s="66" t="s">
        <v>361</v>
      </c>
      <c r="I366" s="57">
        <f>IF(OR(E366="V",G366="V"),"V",IF(AND(E366="None",G366="None"),"None",(IF(E366="None",0,E366)+IF(G366="None",0,G366)+IF(H366="Yes",CharacterSheet!$V$34,0))))</f>
        <v>1</v>
      </c>
      <c r="J366" s="57" t="s">
        <v>360</v>
      </c>
      <c r="K366" s="66">
        <f>IF(J366="no",0,IF(OR(F366="None",F366="Cheval",F366="Legend",F366="Mystery",F366="Prophecy",F366="TsukumoGami"),0,IF(F366="Varies","V",IF(AND(G366=0,CharacterSheet!$R$36="No"),0,IF(AND(G366=0,CharacterSheet!$R$36="Yes"),LOOKUP(D366,Reference!$N$2:$N$10,Reference!$O$2:$O$10),IF(G366&gt;0,LOOKUP(D366,Reference!$N$2:$N$10,Reference!$P$2:$P$10),"ERROR"))))))</f>
        <v>0</v>
      </c>
      <c r="L366" s="66" t="s">
        <v>361</v>
      </c>
      <c r="M366" s="66">
        <f>IF(E366="V","V",IF(J366="Yes",K366,0)+IF(L366="Yes",CharacterSheet!D215,0))</f>
        <v>0</v>
      </c>
      <c r="N366" s="66" t="s">
        <v>1652</v>
      </c>
      <c r="O366" s="66" t="s">
        <v>1686</v>
      </c>
      <c r="P366" s="66" t="s">
        <v>5</v>
      </c>
      <c r="Q366" s="188">
        <v>102</v>
      </c>
    </row>
    <row r="367" spans="1:17" x14ac:dyDescent="0.25">
      <c r="A367" s="86" t="s">
        <v>1204</v>
      </c>
      <c r="B367" s="39" t="s">
        <v>374</v>
      </c>
      <c r="C367" s="39">
        <v>6</v>
      </c>
      <c r="D367" s="66" t="s">
        <v>21</v>
      </c>
      <c r="E367" s="66">
        <f>LOOKUP(D367,Reference!$B$33:$B$46,Reference!$C$33:$C$46)</f>
        <v>1</v>
      </c>
      <c r="F367" s="66" t="s">
        <v>40</v>
      </c>
      <c r="G367" s="66">
        <f>LOOKUP(F367,Reference!$D$32:$D$55,Reference!$E$32:$E$55)</f>
        <v>0</v>
      </c>
      <c r="H367" s="66" t="s">
        <v>361</v>
      </c>
      <c r="I367" s="57">
        <f>IF(OR(E367="V",G367="V"),"V",IF(AND(E367="None",G367="None"),"None",(IF(E367="None",0,E367)+IF(G367="None",0,G367)+IF(H367="Yes",CharacterSheet!$V$34,0))))</f>
        <v>1</v>
      </c>
      <c r="J367" s="57" t="s">
        <v>360</v>
      </c>
      <c r="K367" s="66">
        <f>IF(J367="no",0,IF(OR(F367="None",F367="Cheval",F367="Legend",F367="Mystery",F367="Prophecy",F367="TsukumoGami"),0,IF(F367="Varies","V",IF(AND(G367=0,CharacterSheet!$R$36="No"),0,IF(AND(G367=0,CharacterSheet!$R$36="Yes"),LOOKUP(D367,Reference!$N$2:$N$10,Reference!$O$2:$O$10),IF(G367&gt;0,LOOKUP(D367,Reference!$N$2:$N$10,Reference!$P$2:$P$10),"ERROR"))))))</f>
        <v>0</v>
      </c>
      <c r="L367" s="66" t="s">
        <v>361</v>
      </c>
      <c r="M367" s="66">
        <f>IF(E367="V","V",IF(J367="Yes",K367,0)+IF(L367="Yes",CharacterSheet!D415,0))</f>
        <v>0</v>
      </c>
      <c r="N367" s="66" t="s">
        <v>1637</v>
      </c>
      <c r="O367" s="66" t="s">
        <v>1610</v>
      </c>
      <c r="P367" s="66" t="s">
        <v>1067</v>
      </c>
      <c r="Q367" s="188">
        <v>82</v>
      </c>
    </row>
    <row r="368" spans="1:17" x14ac:dyDescent="0.25">
      <c r="A368" s="86" t="s">
        <v>1457</v>
      </c>
      <c r="B368" s="39" t="s">
        <v>180</v>
      </c>
      <c r="C368" s="39">
        <v>4</v>
      </c>
      <c r="D368" s="66" t="s">
        <v>1086</v>
      </c>
      <c r="E368" s="66" t="str">
        <f>LOOKUP(D368,Reference!$B$33:$B$46,Reference!$C$33:$C$46)</f>
        <v>V</v>
      </c>
      <c r="F368" s="66" t="s">
        <v>1086</v>
      </c>
      <c r="G368" s="66" t="str">
        <f>LOOKUP(F368,Reference!$D$32:$D$55,Reference!$E$32:$E$55)</f>
        <v>V</v>
      </c>
      <c r="H368" s="66" t="s">
        <v>360</v>
      </c>
      <c r="I368" s="57" t="str">
        <f>IF(OR(E368="V",G368="V"),"V",IF(AND(E368="None",G368="None"),"None",(IF(E368="None",0,E368)+IF(G368="None",0,G368)+IF(H368="Yes",CharacterSheet!$V$34,0))))</f>
        <v>V</v>
      </c>
      <c r="J368" s="57" t="s">
        <v>360</v>
      </c>
      <c r="K368" s="66" t="str">
        <f>IF(J368="no",0,IF(OR(F368="None",F368="Cheval",F368="Legend",F368="Mystery",F368="Prophecy",F368="TsukumoGami"),0,IF(F368="Varies","V",IF(AND(G368=0,CharacterSheet!$R$36="No"),0,IF(AND(G368=0,CharacterSheet!$R$36="Yes"),LOOKUP(D368,Reference!$N$2:$N$10,Reference!$O$2:$O$10),IF(G368&gt;0,LOOKUP(D368,Reference!$N$2:$N$10,Reference!$P$2:$P$10),"ERROR"))))))</f>
        <v>V</v>
      </c>
      <c r="L368" s="66" t="s">
        <v>361</v>
      </c>
      <c r="M368" s="66" t="str">
        <f>IF(E368="V","V",IF(J368="Yes",K368,0)+IF(L368="Yes",CharacterSheet!D63,0))</f>
        <v>V</v>
      </c>
      <c r="N368" s="66" t="s">
        <v>1624</v>
      </c>
      <c r="O368" s="66" t="s">
        <v>1086</v>
      </c>
      <c r="P368" s="66" t="s">
        <v>1068</v>
      </c>
      <c r="Q368" s="188">
        <v>173</v>
      </c>
    </row>
    <row r="369" spans="1:17" x14ac:dyDescent="0.25">
      <c r="A369" s="86" t="s">
        <v>1237</v>
      </c>
      <c r="B369" s="39" t="s">
        <v>185</v>
      </c>
      <c r="C369" s="39">
        <v>7</v>
      </c>
      <c r="D369" s="66" t="s">
        <v>20</v>
      </c>
      <c r="E369" s="66">
        <f>LOOKUP(D369,Reference!$B$33:$B$46,Reference!$C$33:$C$46)</f>
        <v>1</v>
      </c>
      <c r="F369" s="66" t="s">
        <v>56</v>
      </c>
      <c r="G369" s="66">
        <f>LOOKUP(F369,Reference!$D$32:$D$55,Reference!$E$32:$E$55)</f>
        <v>0</v>
      </c>
      <c r="H369" s="66" t="s">
        <v>361</v>
      </c>
      <c r="I369" s="57">
        <f>IF(OR(E369="V",G369="V"),"V",IF(AND(E369="None",G369="None"),"None",(IF(E369="None",0,E369)+IF(G369="None",0,G369)+IF(H369="Yes",CharacterSheet!$V$34,0))))</f>
        <v>1</v>
      </c>
      <c r="J369" s="57" t="s">
        <v>360</v>
      </c>
      <c r="K369" s="66">
        <f>IF(J369="no",0,IF(OR(F369="None",F369="Cheval",F369="Legend",F369="Mystery",F369="Prophecy",F369="TsukumoGami"),0,IF(F369="Varies","V",IF(AND(G369=0,CharacterSheet!$R$36="No"),0,IF(AND(G369=0,CharacterSheet!$R$36="Yes"),LOOKUP(D369,Reference!$N$2:$N$10,Reference!$O$2:$O$10),IF(G369&gt;0,LOOKUP(D369,Reference!$N$2:$N$10,Reference!$P$2:$P$10),"ERROR"))))))</f>
        <v>0</v>
      </c>
      <c r="L369" s="66" t="s">
        <v>361</v>
      </c>
      <c r="M369" s="66">
        <f>IF(E369="V","V",IF(J369="Yes",K369,0)+IF(L369="Yes",CharacterSheet!D94,0))</f>
        <v>0</v>
      </c>
      <c r="N369" s="66" t="s">
        <v>1631</v>
      </c>
      <c r="O369" s="66" t="s">
        <v>1569</v>
      </c>
      <c r="P369" s="66" t="s">
        <v>1067</v>
      </c>
      <c r="Q369" s="188">
        <v>92</v>
      </c>
    </row>
    <row r="370" spans="1:17" x14ac:dyDescent="0.25">
      <c r="A370" s="86" t="s">
        <v>1211</v>
      </c>
      <c r="B370" s="39" t="s">
        <v>376</v>
      </c>
      <c r="C370" s="39">
        <v>5</v>
      </c>
      <c r="D370" s="66" t="s">
        <v>19</v>
      </c>
      <c r="E370" s="66">
        <f>LOOKUP(D370,Reference!$B$33:$B$46,Reference!$C$33:$C$46)</f>
        <v>1</v>
      </c>
      <c r="F370" s="66" t="s">
        <v>38</v>
      </c>
      <c r="G370" s="66">
        <f>LOOKUP(F370,Reference!$D$32:$D$55,Reference!$E$32:$E$55)</f>
        <v>0</v>
      </c>
      <c r="H370" s="66" t="s">
        <v>361</v>
      </c>
      <c r="I370" s="57">
        <f>IF(OR(E370="V",G370="V"),"V",IF(AND(E370="None",G370="None"),"None",(IF(E370="None",0,E370)+IF(G370="None",0,G370)+IF(H370="Yes",CharacterSheet!$V$34,0))))</f>
        <v>1</v>
      </c>
      <c r="J370" s="57" t="s">
        <v>360</v>
      </c>
      <c r="K370" s="66">
        <f>IF(J370="no",0,IF(OR(F370="None",F370="Cheval",F370="Legend",F370="Mystery",F370="Prophecy",F370="TsukumoGami"),0,IF(F370="Varies","V",IF(AND(G370=0,CharacterSheet!$R$36="No"),0,IF(AND(G370=0,CharacterSheet!$R$36="Yes"),LOOKUP(D370,Reference!$N$2:$N$10,Reference!$O$2:$O$10),IF(G370&gt;0,LOOKUP(D370,Reference!$N$2:$N$10,Reference!$P$2:$P$10),"ERROR"))))))</f>
        <v>0</v>
      </c>
      <c r="L370" s="66" t="s">
        <v>361</v>
      </c>
      <c r="M370" s="66">
        <f>IF(E370="V","V",IF(J370="Yes",K370,0)+IF(L370="Yes",CharacterSheet!D125,0))</f>
        <v>0</v>
      </c>
      <c r="N370" s="66" t="s">
        <v>508</v>
      </c>
      <c r="O370" s="66" t="s">
        <v>1550</v>
      </c>
      <c r="P370" s="66" t="s">
        <v>1067</v>
      </c>
      <c r="Q370" s="188">
        <v>85</v>
      </c>
    </row>
    <row r="371" spans="1:17" x14ac:dyDescent="0.25">
      <c r="A371" s="86" t="s">
        <v>1253</v>
      </c>
      <c r="B371" s="39" t="s">
        <v>705</v>
      </c>
      <c r="C371" s="39">
        <v>7</v>
      </c>
      <c r="D371" s="66" t="s">
        <v>16</v>
      </c>
      <c r="E371" s="66">
        <f>LOOKUP(D371,Reference!$B$33:$B$46,Reference!$C$33:$C$46)</f>
        <v>1</v>
      </c>
      <c r="F371" s="66" t="s">
        <v>705</v>
      </c>
      <c r="G371" s="66">
        <f>LOOKUP(F371,Reference!$D$32:$D$55,Reference!$E$32:$E$55)</f>
        <v>0</v>
      </c>
      <c r="H371" s="66" t="s">
        <v>361</v>
      </c>
      <c r="I371" s="57">
        <f>IF(OR(E371="V",G371="V"),"V",IF(AND(E371="None",G371="None"),"None",(IF(E371="None",0,E371)+IF(G371="None",0,G371)+IF(H371="Yes",CharacterSheet!$V$34,0))))</f>
        <v>1</v>
      </c>
      <c r="J371" s="57" t="s">
        <v>360</v>
      </c>
      <c r="K371" s="66">
        <f>IF(J371="no",0,IF(OR(F371="None",F371="Cheval",F371="Legend",F371="Mystery",F371="Prophecy",F371="TsukumoGami"),0,IF(F371="Varies","V",IF(AND(G371=0,CharacterSheet!$R$36="No"),0,IF(AND(G371=0,CharacterSheet!$R$36="Yes"),LOOKUP(D371,Reference!$N$2:$N$10,Reference!$O$2:$O$10),IF(G371&gt;0,LOOKUP(D371,Reference!$N$2:$N$10,Reference!$P$2:$P$10),"ERROR"))))))</f>
        <v>0</v>
      </c>
      <c r="L371" s="66" t="s">
        <v>361</v>
      </c>
      <c r="M371" s="66">
        <f>IF(E371="V","V",IF(J371="Yes",K371,0)+IF(L371="Yes",CharacterSheet!D233,0))</f>
        <v>0</v>
      </c>
      <c r="N371" s="66" t="s">
        <v>1625</v>
      </c>
      <c r="O371" s="66" t="s">
        <v>1621</v>
      </c>
      <c r="P371" s="66" t="s">
        <v>1067</v>
      </c>
      <c r="Q371" s="188">
        <v>97</v>
      </c>
    </row>
    <row r="372" spans="1:17" x14ac:dyDescent="0.25">
      <c r="A372" s="87" t="s">
        <v>1531</v>
      </c>
      <c r="B372" s="66" t="s">
        <v>703</v>
      </c>
      <c r="C372" s="39">
        <v>10</v>
      </c>
      <c r="D372" s="66" t="s">
        <v>17</v>
      </c>
      <c r="E372" s="66">
        <f>LOOKUP(D372,Reference!$B$33:$B$46,Reference!$C$33:$C$46)</f>
        <v>1</v>
      </c>
      <c r="F372" s="66" t="s">
        <v>57</v>
      </c>
      <c r="G372" s="66">
        <f>LOOKUP(F372,Reference!$D$32:$D$55,Reference!$E$32:$E$55)</f>
        <v>0</v>
      </c>
      <c r="H372" s="66" t="s">
        <v>361</v>
      </c>
      <c r="I372" s="57">
        <f>IF(OR(E372="V",G372="V"),"V",IF(AND(E372="None",G372="None"),"None",(IF(E372="None",0,E372)+IF(G372="None",0,G372)+IF(H372="Yes",CharacterSheet!$V$34,0))))</f>
        <v>1</v>
      </c>
      <c r="J372" s="57" t="s">
        <v>360</v>
      </c>
      <c r="K372" s="66">
        <f>IF(J372="no",0,IF(OR(F372="None",F372="Cheval",F372="Legend",F372="Mystery",F372="Prophecy",F372="TsukumoGami"),0,IF(F372="Varies","V",IF(AND(G372=0,CharacterSheet!$R$36="No"),0,IF(AND(G372=0,CharacterSheet!$R$36="Yes"),LOOKUP(D372,Reference!$N$2:$N$10,Reference!$O$2:$O$10),IF(G372&gt;0,LOOKUP(D372,Reference!$N$2:$N$10,Reference!$P$2:$P$10),"ERROR"))))))</f>
        <v>0</v>
      </c>
      <c r="L372" s="66" t="s">
        <v>361</v>
      </c>
      <c r="M372" s="66">
        <f>IF(E372="V","V",IF(J372="Yes",K372,0)+IF(L372="Yes",CharacterSheet!D271,0))</f>
        <v>0</v>
      </c>
      <c r="N372" s="66" t="s">
        <v>1652</v>
      </c>
      <c r="O372" s="66" t="s">
        <v>1741</v>
      </c>
      <c r="P372" s="66" t="s">
        <v>1507</v>
      </c>
      <c r="Q372" s="188">
        <v>43</v>
      </c>
    </row>
    <row r="373" spans="1:17" x14ac:dyDescent="0.25">
      <c r="A373" s="86" t="s">
        <v>1252</v>
      </c>
      <c r="B373" s="39" t="s">
        <v>705</v>
      </c>
      <c r="C373" s="39">
        <v>6</v>
      </c>
      <c r="D373" s="66" t="s">
        <v>17</v>
      </c>
      <c r="E373" s="66">
        <f>LOOKUP(D373,Reference!$B$33:$B$46,Reference!$C$33:$C$46)</f>
        <v>1</v>
      </c>
      <c r="F373" s="66" t="s">
        <v>49</v>
      </c>
      <c r="G373" s="66">
        <f>LOOKUP(F373,Reference!$D$32:$D$55,Reference!$E$32:$E$55)</f>
        <v>0</v>
      </c>
      <c r="H373" s="66" t="s">
        <v>361</v>
      </c>
      <c r="I373" s="57">
        <f>IF(OR(E373="V",G373="V"),"V",IF(AND(E373="None",G373="None"),"None",(IF(E373="None",0,E373)+IF(G373="None",0,G373)+IF(H373="Yes",CharacterSheet!$V$34,0))))</f>
        <v>1</v>
      </c>
      <c r="J373" s="57" t="s">
        <v>360</v>
      </c>
      <c r="K373" s="66">
        <f>IF(J373="no",0,IF(OR(F373="None",F373="Cheval",F373="Legend",F373="Mystery",F373="Prophecy",F373="TsukumoGami"),0,IF(F373="Varies","V",IF(AND(G373=0,CharacterSheet!$R$36="No"),0,IF(AND(G373=0,CharacterSheet!$R$36="Yes"),LOOKUP(D373,Reference!$N$2:$N$10,Reference!$O$2:$O$10),IF(G373&gt;0,LOOKUP(D373,Reference!$N$2:$N$10,Reference!$P$2:$P$10),"ERROR"))))))</f>
        <v>0</v>
      </c>
      <c r="L373" s="66" t="s">
        <v>361</v>
      </c>
      <c r="M373" s="66">
        <f>IF(E373="V","V",IF(J373="Yes",K373,0)+IF(L373="Yes",CharacterSheet!D380,0))</f>
        <v>0</v>
      </c>
      <c r="N373" s="66" t="s">
        <v>1641</v>
      </c>
      <c r="O373" s="66" t="s">
        <v>1620</v>
      </c>
      <c r="P373" s="66" t="s">
        <v>1067</v>
      </c>
      <c r="Q373" s="188">
        <v>96</v>
      </c>
    </row>
    <row r="374" spans="1:17" x14ac:dyDescent="0.25">
      <c r="A374" s="86" t="s">
        <v>1245</v>
      </c>
      <c r="B374" s="39" t="s">
        <v>174</v>
      </c>
      <c r="C374" s="39">
        <v>7</v>
      </c>
      <c r="D374" s="66" t="s">
        <v>508</v>
      </c>
      <c r="E374" s="66" t="str">
        <f>LOOKUP(D374,Reference!$B$33:$B$46,Reference!$C$33:$C$46)</f>
        <v>None</v>
      </c>
      <c r="F374" s="66" t="s">
        <v>508</v>
      </c>
      <c r="G374" s="66" t="str">
        <f>LOOKUP(F374,Reference!$D$32:$D$55,Reference!$E$32:$E$55)</f>
        <v>None</v>
      </c>
      <c r="H374" s="66" t="s">
        <v>361</v>
      </c>
      <c r="I374" s="57" t="str">
        <f>IF(OR(E374="V",G374="V"),"V",IF(AND(E374="None",G374="None"),"None",(IF(E374="None",0,E374)+IF(G374="None",0,G374)+IF(H374="Yes",CharacterSheet!$V$34,0))))</f>
        <v>None</v>
      </c>
      <c r="J374" s="57" t="s">
        <v>361</v>
      </c>
      <c r="K374" s="66">
        <f>IF(J374="no",0,IF(OR(F374="None",F374="Cheval",F374="Legend",F374="Mystery",F374="Prophecy",F374="TsukumoGami"),0,IF(F374="Varies","V",IF(AND(G374=0,CharacterSheet!$R$36="No"),0,IF(AND(G374=0,CharacterSheet!$R$36="Yes"),LOOKUP(D374,Reference!$N$2:$N$10,Reference!$O$2:$O$10),IF(G374&gt;0,LOOKUP(D374,Reference!$N$2:$N$10,Reference!$P$2:$P$10),"ERROR"))))))</f>
        <v>0</v>
      </c>
      <c r="L374" s="66" t="s">
        <v>361</v>
      </c>
      <c r="M374" s="66">
        <f>IF(E374="V","V",IF(J374="Yes",K374,0)+IF(L374="Yes",CharacterSheet!D57,0))</f>
        <v>0</v>
      </c>
      <c r="N374" s="66" t="s">
        <v>1595</v>
      </c>
      <c r="O374" s="66" t="s">
        <v>508</v>
      </c>
      <c r="P374" s="66" t="s">
        <v>1067</v>
      </c>
      <c r="Q374" s="188">
        <v>95</v>
      </c>
    </row>
    <row r="375" spans="1:17" x14ac:dyDescent="0.25">
      <c r="A375" s="86" t="s">
        <v>1345</v>
      </c>
      <c r="B375" s="39" t="s">
        <v>705</v>
      </c>
      <c r="C375" s="39">
        <v>9</v>
      </c>
      <c r="D375" s="66" t="s">
        <v>16</v>
      </c>
      <c r="E375" s="66">
        <f>LOOKUP(D375,Reference!$B$33:$B$46,Reference!$C$33:$C$46)</f>
        <v>1</v>
      </c>
      <c r="F375" s="66" t="s">
        <v>49</v>
      </c>
      <c r="G375" s="66">
        <f>LOOKUP(F375,Reference!$D$32:$D$55,Reference!$E$32:$E$55)</f>
        <v>0</v>
      </c>
      <c r="H375" s="66" t="s">
        <v>361</v>
      </c>
      <c r="I375" s="57">
        <f>IF(OR(E375="V",G375="V"),"V",IF(AND(E375="None",G375="None"),"None",(IF(E375="None",0,E375)+IF(G375="None",0,G375)+IF(H375="Yes",CharacterSheet!$V$34,0))))</f>
        <v>1</v>
      </c>
      <c r="J375" s="57" t="s">
        <v>360</v>
      </c>
      <c r="K375" s="66">
        <f>IF(J375="no",0,IF(OR(F375="None",F375="Cheval",F375="Legend",F375="Mystery",F375="Prophecy",F375="TsukumoGami"),0,IF(F375="Varies","V",IF(AND(G375=0,CharacterSheet!$R$36="No"),0,IF(AND(G375=0,CharacterSheet!$R$36="Yes"),LOOKUP(D375,Reference!$N$2:$N$10,Reference!$O$2:$O$10),IF(G375&gt;0,LOOKUP(D375,Reference!$N$2:$N$10,Reference!$P$2:$P$10),"ERROR"))))))</f>
        <v>0</v>
      </c>
      <c r="L375" s="66" t="s">
        <v>361</v>
      </c>
      <c r="M375" s="66">
        <f>IF(E375="V","V",IF(J375="Yes",K375,0)+IF(L375="Yes",CharacterSheet!D319,0))</f>
        <v>0</v>
      </c>
      <c r="N375" s="66" t="s">
        <v>1675</v>
      </c>
      <c r="O375" s="66" t="s">
        <v>1572</v>
      </c>
      <c r="P375" s="66" t="s">
        <v>5</v>
      </c>
      <c r="Q375" s="188">
        <v>109</v>
      </c>
    </row>
    <row r="376" spans="1:17" x14ac:dyDescent="0.25">
      <c r="A376" s="86" t="s">
        <v>1152</v>
      </c>
      <c r="B376" s="39" t="s">
        <v>705</v>
      </c>
      <c r="C376" s="39">
        <v>3</v>
      </c>
      <c r="D376" s="66" t="s">
        <v>16</v>
      </c>
      <c r="E376" s="66">
        <f>LOOKUP(D376,Reference!$B$33:$B$46,Reference!$C$33:$C$46)</f>
        <v>1</v>
      </c>
      <c r="F376" s="66" t="s">
        <v>49</v>
      </c>
      <c r="G376" s="66">
        <f>LOOKUP(F376,Reference!$D$32:$D$55,Reference!$E$32:$E$55)</f>
        <v>0</v>
      </c>
      <c r="H376" s="66" t="s">
        <v>361</v>
      </c>
      <c r="I376" s="57">
        <f>IF(OR(E376="V",G376="V"),"V",IF(AND(E376="None",G376="None"),"None",(IF(E376="None",0,E376)+IF(G376="None",0,G376)+IF(H376="Yes",CharacterSheet!$V$34,0))))</f>
        <v>1</v>
      </c>
      <c r="J376" s="57" t="s">
        <v>360</v>
      </c>
      <c r="K376" s="66">
        <f>IF(J376="no",0,IF(OR(F376="None",F376="Cheval",F376="Legend",F376="Mystery",F376="Prophecy",F376="TsukumoGami"),0,IF(F376="Varies","V",IF(AND(G376=0,CharacterSheet!$R$36="No"),0,IF(AND(G376=0,CharacterSheet!$R$36="Yes"),LOOKUP(D376,Reference!$N$2:$N$10,Reference!$O$2:$O$10),IF(G376&gt;0,LOOKUP(D376,Reference!$N$2:$N$10,Reference!$P$2:$P$10),"ERROR"))))))</f>
        <v>0</v>
      </c>
      <c r="L376" s="66" t="s">
        <v>361</v>
      </c>
      <c r="M376" s="66">
        <f>IF(E376="V","V",IF(J376="Yes",K376,0)+IF(L376="Yes",CharacterSheet!D305,0))</f>
        <v>0</v>
      </c>
      <c r="N376" s="66" t="s">
        <v>1565</v>
      </c>
      <c r="O376" s="66" t="s">
        <v>1572</v>
      </c>
      <c r="P376" s="66" t="s">
        <v>141</v>
      </c>
      <c r="Q376" s="188">
        <v>153</v>
      </c>
    </row>
    <row r="377" spans="1:17" x14ac:dyDescent="0.25">
      <c r="A377" s="86" t="s">
        <v>1251</v>
      </c>
      <c r="B377" s="39" t="s">
        <v>705</v>
      </c>
      <c r="C377" s="39">
        <v>5</v>
      </c>
      <c r="D377" s="66" t="s">
        <v>13</v>
      </c>
      <c r="E377" s="66">
        <f>LOOKUP(D377,Reference!$B$33:$B$46,Reference!$C$33:$C$46)</f>
        <v>1</v>
      </c>
      <c r="F377" s="66" t="s">
        <v>57</v>
      </c>
      <c r="G377" s="66">
        <f>LOOKUP(F377,Reference!$D$32:$D$55,Reference!$E$32:$E$55)</f>
        <v>0</v>
      </c>
      <c r="H377" s="66" t="s">
        <v>361</v>
      </c>
      <c r="I377" s="57">
        <f>IF(OR(E377="V",G377="V"),"V",IF(AND(E377="None",G377="None"),"None",(IF(E377="None",0,E377)+IF(G377="None",0,G377)+IF(H377="Yes",CharacterSheet!$V$34,0))))</f>
        <v>1</v>
      </c>
      <c r="J377" s="57" t="s">
        <v>360</v>
      </c>
      <c r="K377" s="66">
        <f>IF(J377="no",0,IF(OR(F377="None",F377="Cheval",F377="Legend",F377="Mystery",F377="Prophecy",F377="TsukumoGami"),0,IF(F377="Varies","V",IF(AND(G377=0,CharacterSheet!$R$36="No"),0,IF(AND(G377=0,CharacterSheet!$R$36="Yes"),LOOKUP(D377,Reference!$N$2:$N$10,Reference!$O$2:$O$10),IF(G377&gt;0,LOOKUP(D377,Reference!$N$2:$N$10,Reference!$P$2:$P$10),"ERROR"))))))</f>
        <v>0</v>
      </c>
      <c r="L377" s="66" t="s">
        <v>361</v>
      </c>
      <c r="M377" s="66">
        <f>IF(E377="V","V",IF(J377="Yes",K377,0)+IF(L377="Yes",CharacterSheet!D265,0))</f>
        <v>0</v>
      </c>
      <c r="N377" s="66" t="s">
        <v>1600</v>
      </c>
      <c r="O377" s="66" t="s">
        <v>1551</v>
      </c>
      <c r="P377" s="66" t="s">
        <v>1067</v>
      </c>
      <c r="Q377" s="188">
        <v>96</v>
      </c>
    </row>
    <row r="378" spans="1:17" x14ac:dyDescent="0.25">
      <c r="A378" s="86" t="s">
        <v>1344</v>
      </c>
      <c r="B378" s="39" t="s">
        <v>705</v>
      </c>
      <c r="C378" s="39">
        <v>8</v>
      </c>
      <c r="D378" s="66" t="s">
        <v>16</v>
      </c>
      <c r="E378" s="66">
        <f>LOOKUP(D378,Reference!$B$33:$B$46,Reference!$C$33:$C$46)</f>
        <v>1</v>
      </c>
      <c r="F378" s="66" t="s">
        <v>49</v>
      </c>
      <c r="G378" s="66">
        <f>LOOKUP(F378,Reference!$D$32:$D$55,Reference!$E$32:$E$55)</f>
        <v>0</v>
      </c>
      <c r="H378" s="66" t="s">
        <v>361</v>
      </c>
      <c r="I378" s="57">
        <f>IF(OR(E378="V",G378="V"),"V",IF(AND(E378="None",G378="None"),"None",(IF(E378="None",0,E378)+IF(G378="None",0,G378)+IF(H378="Yes",CharacterSheet!$V$34,0))))</f>
        <v>1</v>
      </c>
      <c r="J378" s="57" t="s">
        <v>360</v>
      </c>
      <c r="K378" s="66">
        <f>IF(J378="no",0,IF(OR(F378="None",F378="Cheval",F378="Legend",F378="Mystery",F378="Prophecy",F378="TsukumoGami"),0,IF(F378="Varies","V",IF(AND(G378=0,CharacterSheet!$R$36="No"),0,IF(AND(G378=0,CharacterSheet!$R$36="Yes"),LOOKUP(D378,Reference!$N$2:$N$10,Reference!$O$2:$O$10),IF(G378&gt;0,LOOKUP(D378,Reference!$N$2:$N$10,Reference!$P$2:$P$10),"ERROR"))))))</f>
        <v>0</v>
      </c>
      <c r="L378" s="66" t="s">
        <v>361</v>
      </c>
      <c r="M378" s="66">
        <f>IF(E378="V","V",IF(J378="Yes",K378,0)+IF(L378="Yes",CharacterSheet!D88,0))</f>
        <v>0</v>
      </c>
      <c r="N378" s="66" t="s">
        <v>1677</v>
      </c>
      <c r="O378" s="66" t="s">
        <v>1572</v>
      </c>
      <c r="P378" s="66" t="s">
        <v>5</v>
      </c>
      <c r="Q378" s="188">
        <v>109</v>
      </c>
    </row>
    <row r="379" spans="1:17" x14ac:dyDescent="0.25">
      <c r="A379" s="86" t="s">
        <v>1474</v>
      </c>
      <c r="B379" s="39" t="s">
        <v>194</v>
      </c>
      <c r="C379" s="39">
        <v>10</v>
      </c>
      <c r="D379" s="66" t="s">
        <v>20</v>
      </c>
      <c r="E379" s="66">
        <f>LOOKUP(D379,Reference!$B$33:$B$46,Reference!$C$33:$C$46)</f>
        <v>1</v>
      </c>
      <c r="F379" s="66" t="s">
        <v>58</v>
      </c>
      <c r="G379" s="66">
        <f>LOOKUP(F379,Reference!$D$32:$D$55,Reference!$E$32:$E$55)</f>
        <v>0</v>
      </c>
      <c r="H379" s="66" t="s">
        <v>361</v>
      </c>
      <c r="I379" s="57">
        <f>IF(OR(E379="V",G379="V"),"V",IF(AND(E379="None",G379="None"),"None",(IF(E379="None",0,E379)+IF(G379="None",0,G379)+IF(H379="Yes",CharacterSheet!$V$34,0))))</f>
        <v>1</v>
      </c>
      <c r="J379" s="57" t="s">
        <v>360</v>
      </c>
      <c r="K379" s="66">
        <f>IF(J379="no",0,IF(OR(F379="None",F379="Cheval",F379="Legend",F379="Mystery",F379="Prophecy",F379="TsukumoGami"),0,IF(F379="Varies","V",IF(AND(G379=0,CharacterSheet!$R$36="No"),0,IF(AND(G379=0,CharacterSheet!$R$36="Yes"),LOOKUP(D379,Reference!$N$2:$N$10,Reference!$O$2:$O$10),IF(G379&gt;0,LOOKUP(D379,Reference!$N$2:$N$10,Reference!$P$2:$P$10),"ERROR"))))))</f>
        <v>0</v>
      </c>
      <c r="L379" s="66" t="s">
        <v>361</v>
      </c>
      <c r="M379" s="66">
        <f>IF(E379="V","V",IF(J379="Yes",K379,0)+IF(L379="Yes",CharacterSheet!D230,0))</f>
        <v>0</v>
      </c>
      <c r="N379" s="66" t="s">
        <v>1702</v>
      </c>
      <c r="O379" s="66" t="s">
        <v>1681</v>
      </c>
      <c r="P379" s="66" t="s">
        <v>1068</v>
      </c>
      <c r="Q379" s="188">
        <v>231</v>
      </c>
    </row>
    <row r="380" spans="1:17" x14ac:dyDescent="0.25">
      <c r="A380" s="86" t="s">
        <v>1346</v>
      </c>
      <c r="B380" s="39" t="s">
        <v>705</v>
      </c>
      <c r="C380" s="39">
        <v>10</v>
      </c>
      <c r="D380" s="66" t="s">
        <v>17</v>
      </c>
      <c r="E380" s="66">
        <f>LOOKUP(D380,Reference!$B$33:$B$46,Reference!$C$33:$C$46)</f>
        <v>1</v>
      </c>
      <c r="F380" s="66" t="s">
        <v>49</v>
      </c>
      <c r="G380" s="66">
        <f>LOOKUP(F380,Reference!$D$32:$D$55,Reference!$E$32:$E$55)</f>
        <v>0</v>
      </c>
      <c r="H380" s="66" t="s">
        <v>361</v>
      </c>
      <c r="I380" s="57">
        <f>IF(OR(E380="V",G380="V"),"V",IF(AND(E380="None",G380="None"),"None",(IF(E380="None",0,E380)+IF(G380="None",0,G380)+IF(H380="Yes",CharacterSheet!$V$34,0))))</f>
        <v>1</v>
      </c>
      <c r="J380" s="57" t="s">
        <v>360</v>
      </c>
      <c r="K380" s="66">
        <f>IF(J380="no",0,IF(OR(F380="None",F380="Cheval",F380="Legend",F380="Mystery",F380="Prophecy",F380="TsukumoGami"),0,IF(F380="Varies","V",IF(AND(G380=0,CharacterSheet!$R$36="No"),0,IF(AND(G380=0,CharacterSheet!$R$36="Yes"),LOOKUP(D380,Reference!$N$2:$N$10,Reference!$O$2:$O$10),IF(G380&gt;0,LOOKUP(D380,Reference!$N$2:$N$10,Reference!$P$2:$P$10),"ERROR"))))))</f>
        <v>0</v>
      </c>
      <c r="L380" s="66" t="s">
        <v>361</v>
      </c>
      <c r="M380" s="66">
        <f>IF(E380="V","V",IF(J380="Yes",K380,0)+IF(L380="Yes",CharacterSheet!D252,0))</f>
        <v>0</v>
      </c>
      <c r="N380" s="66" t="s">
        <v>1676</v>
      </c>
      <c r="O380" s="66" t="s">
        <v>1620</v>
      </c>
      <c r="P380" s="66" t="s">
        <v>5</v>
      </c>
      <c r="Q380" s="188">
        <v>109</v>
      </c>
    </row>
    <row r="381" spans="1:17" x14ac:dyDescent="0.25">
      <c r="A381" s="87" t="s">
        <v>1519</v>
      </c>
      <c r="B381" s="66" t="s">
        <v>703</v>
      </c>
      <c r="C381" s="39">
        <v>1</v>
      </c>
      <c r="D381" s="66" t="s">
        <v>17</v>
      </c>
      <c r="E381" s="66">
        <f>LOOKUP(D381,Reference!$B$33:$B$46,Reference!$C$33:$C$46)</f>
        <v>1</v>
      </c>
      <c r="F381" s="66" t="s">
        <v>45</v>
      </c>
      <c r="G381" s="66">
        <f>LOOKUP(F381,Reference!$D$32:$D$55,Reference!$E$32:$E$55)</f>
        <v>0</v>
      </c>
      <c r="H381" s="66" t="s">
        <v>361</v>
      </c>
      <c r="I381" s="57">
        <f>IF(OR(E381="V",G381="V"),"V",IF(AND(E381="None",G381="None"),"None",(IF(E381="None",0,E381)+IF(G381="None",0,G381)+IF(H381="Yes",CharacterSheet!$V$34,0))))</f>
        <v>1</v>
      </c>
      <c r="J381" s="57" t="s">
        <v>360</v>
      </c>
      <c r="K381" s="66">
        <f>IF(J381="no",0,IF(OR(F381="None",F381="Cheval",F381="Legend",F381="Mystery",F381="Prophecy",F381="TsukumoGami"),0,IF(F381="Varies","V",IF(AND(G381=0,CharacterSheet!$R$36="No"),0,IF(AND(G381=0,CharacterSheet!$R$36="Yes"),LOOKUP(D381,Reference!$N$2:$N$10,Reference!$O$2:$O$10),IF(G381&gt;0,LOOKUP(D381,Reference!$N$2:$N$10,Reference!$P$2:$P$10),"ERROR"))))))</f>
        <v>0</v>
      </c>
      <c r="L381" s="66" t="s">
        <v>361</v>
      </c>
      <c r="M381" s="66">
        <f>IF(E381="V","V",IF(J381="Yes",K381,0)+IF(L381="Yes",CharacterSheet!D481,0))</f>
        <v>0</v>
      </c>
      <c r="N381" s="66" t="s">
        <v>1689</v>
      </c>
      <c r="O381" s="66" t="s">
        <v>1735</v>
      </c>
      <c r="P381" s="66" t="s">
        <v>1507</v>
      </c>
      <c r="Q381" s="188">
        <v>39</v>
      </c>
    </row>
    <row r="382" spans="1:17" x14ac:dyDescent="0.25">
      <c r="A382" s="86" t="s">
        <v>1250</v>
      </c>
      <c r="B382" s="39" t="s">
        <v>705</v>
      </c>
      <c r="C382" s="39">
        <v>4</v>
      </c>
      <c r="D382" s="66" t="s">
        <v>16</v>
      </c>
      <c r="E382" s="66">
        <f>LOOKUP(D382,Reference!$B$33:$B$46,Reference!$C$33:$C$46)</f>
        <v>1</v>
      </c>
      <c r="F382" s="66" t="s">
        <v>49</v>
      </c>
      <c r="G382" s="66">
        <f>LOOKUP(F382,Reference!$D$32:$D$55,Reference!$E$32:$E$55)</f>
        <v>0</v>
      </c>
      <c r="H382" s="66" t="s">
        <v>361</v>
      </c>
      <c r="I382" s="57">
        <f>IF(OR(E382="V",G382="V"),"V",IF(AND(E382="None",G382="None"),"None",(IF(E382="None",0,E382)+IF(G382="None",0,G382)+IF(H382="Yes",CharacterSheet!$V$34,0))))</f>
        <v>1</v>
      </c>
      <c r="J382" s="57" t="s">
        <v>360</v>
      </c>
      <c r="K382" s="66">
        <f>IF(J382="no",0,IF(OR(F382="None",F382="Cheval",F382="Legend",F382="Mystery",F382="Prophecy",F382="TsukumoGami"),0,IF(F382="Varies","V",IF(AND(G382=0,CharacterSheet!$R$36="No"),0,IF(AND(G382=0,CharacterSheet!$R$36="Yes"),LOOKUP(D382,Reference!$N$2:$N$10,Reference!$O$2:$O$10),IF(G382&gt;0,LOOKUP(D382,Reference!$N$2:$N$10,Reference!$P$2:$P$10),"ERROR"))))))</f>
        <v>0</v>
      </c>
      <c r="L382" s="66" t="s">
        <v>361</v>
      </c>
      <c r="M382" s="66">
        <f>IF(E382="V","V",IF(J382="Yes",K382,0)+IF(L382="Yes",CharacterSheet!D417,0))</f>
        <v>0</v>
      </c>
      <c r="N382" s="66" t="s">
        <v>1072</v>
      </c>
      <c r="O382" s="66" t="s">
        <v>1572</v>
      </c>
      <c r="P382" s="66" t="s">
        <v>1067</v>
      </c>
      <c r="Q382" s="188">
        <v>96</v>
      </c>
    </row>
    <row r="383" spans="1:17" x14ac:dyDescent="0.25">
      <c r="A383" s="86" t="s">
        <v>1154</v>
      </c>
      <c r="B383" s="39" t="s">
        <v>385</v>
      </c>
      <c r="C383" s="39">
        <v>1</v>
      </c>
      <c r="D383" s="66" t="s">
        <v>19</v>
      </c>
      <c r="E383" s="66">
        <f>LOOKUP(D383,Reference!$B$33:$B$46,Reference!$C$33:$C$46)</f>
        <v>1</v>
      </c>
      <c r="F383" s="66" t="s">
        <v>49</v>
      </c>
      <c r="G383" s="66">
        <f>LOOKUP(F383,Reference!$D$32:$D$55,Reference!$E$32:$E$55)</f>
        <v>0</v>
      </c>
      <c r="H383" s="66" t="s">
        <v>361</v>
      </c>
      <c r="I383" s="57">
        <f>IF(OR(E383="V",G383="V"),"V",IF(AND(E383="None",G383="None"),"None",(IF(E383="None",0,E383)+IF(G383="None",0,G383)+IF(H383="Yes",CharacterSheet!$V$34,0))))</f>
        <v>1</v>
      </c>
      <c r="J383" s="57" t="s">
        <v>360</v>
      </c>
      <c r="K383" s="66">
        <f>IF(J383="no",0,IF(OR(F383="None",F383="Cheval",F383="Legend",F383="Mystery",F383="Prophecy",F383="TsukumoGami"),0,IF(F383="Varies","V",IF(AND(G383=0,CharacterSheet!$R$36="No"),0,IF(AND(G383=0,CharacterSheet!$R$36="Yes"),LOOKUP(D383,Reference!$N$2:$N$10,Reference!$O$2:$O$10),IF(G383&gt;0,LOOKUP(D383,Reference!$N$2:$N$10,Reference!$P$2:$P$10),"ERROR"))))))</f>
        <v>0</v>
      </c>
      <c r="L383" s="66" t="s">
        <v>361</v>
      </c>
      <c r="M383" s="66">
        <f>IF(E383="V","V",IF(J383="Yes",K383,0)+IF(L383="Yes",CharacterSheet!D97,0))</f>
        <v>0</v>
      </c>
      <c r="N383" s="66" t="s">
        <v>1624</v>
      </c>
      <c r="O383" s="66" t="s">
        <v>1574</v>
      </c>
      <c r="P383" s="66" t="s">
        <v>141</v>
      </c>
      <c r="Q383" s="188">
        <v>154</v>
      </c>
    </row>
    <row r="384" spans="1:17" x14ac:dyDescent="0.25">
      <c r="A384" s="86" t="s">
        <v>1150</v>
      </c>
      <c r="B384" s="39" t="s">
        <v>705</v>
      </c>
      <c r="C384" s="39">
        <v>1</v>
      </c>
      <c r="D384" s="66" t="s">
        <v>16</v>
      </c>
      <c r="E384" s="66">
        <f>LOOKUP(D384,Reference!$B$33:$B$46,Reference!$C$33:$C$46)</f>
        <v>1</v>
      </c>
      <c r="F384" s="66" t="s">
        <v>51</v>
      </c>
      <c r="G384" s="66">
        <f>LOOKUP(F384,Reference!$D$32:$D$55,Reference!$E$32:$E$55)</f>
        <v>0</v>
      </c>
      <c r="H384" s="66" t="s">
        <v>361</v>
      </c>
      <c r="I384" s="57">
        <f>IF(OR(E384="V",G384="V"),"V",IF(AND(E384="None",G384="None"),"None",(IF(E384="None",0,E384)+IF(G384="None",0,G384)+IF(H384="Yes",CharacterSheet!$V$34,0))))</f>
        <v>1</v>
      </c>
      <c r="J384" s="57" t="s">
        <v>360</v>
      </c>
      <c r="K384" s="66">
        <f>IF(J384="no",0,IF(OR(F384="None",F384="Cheval",F384="Legend",F384="Mystery",F384="Prophecy",F384="TsukumoGami"),0,IF(F384="Varies","V",IF(AND(G384=0,CharacterSheet!$R$36="No"),0,IF(AND(G384=0,CharacterSheet!$R$36="Yes"),LOOKUP(D384,Reference!$N$2:$N$10,Reference!$O$2:$O$10),IF(G384&gt;0,LOOKUP(D384,Reference!$N$2:$N$10,Reference!$P$2:$P$10),"ERROR"))))))</f>
        <v>0</v>
      </c>
      <c r="L384" s="66" t="s">
        <v>361</v>
      </c>
      <c r="M384" s="66">
        <f>IF(E384="V","V",IF(J384="Yes",K384,0)+IF(L384="Yes",CharacterSheet!D243,0))</f>
        <v>0</v>
      </c>
      <c r="N384" s="66" t="s">
        <v>508</v>
      </c>
      <c r="O384" s="66" t="s">
        <v>1559</v>
      </c>
      <c r="P384" s="66" t="s">
        <v>141</v>
      </c>
      <c r="Q384" s="188">
        <v>153</v>
      </c>
    </row>
    <row r="385" spans="1:17" x14ac:dyDescent="0.25">
      <c r="A385" s="86" t="s">
        <v>1151</v>
      </c>
      <c r="B385" s="39" t="s">
        <v>705</v>
      </c>
      <c r="C385" s="39">
        <v>2</v>
      </c>
      <c r="D385" s="66" t="s">
        <v>16</v>
      </c>
      <c r="E385" s="66">
        <f>LOOKUP(D385,Reference!$B$33:$B$46,Reference!$C$33:$C$46)</f>
        <v>1</v>
      </c>
      <c r="F385" s="66" t="s">
        <v>51</v>
      </c>
      <c r="G385" s="66">
        <f>LOOKUP(F385,Reference!$D$32:$D$55,Reference!$E$32:$E$55)</f>
        <v>0</v>
      </c>
      <c r="H385" s="66" t="s">
        <v>361</v>
      </c>
      <c r="I385" s="57">
        <f>IF(OR(E385="V",G385="V"),"V",IF(AND(E385="None",G385="None"),"None",(IF(E385="None",0,E385)+IF(G385="None",0,G385)+IF(H385="Yes",CharacterSheet!$V$34,0))))</f>
        <v>1</v>
      </c>
      <c r="J385" s="57" t="s">
        <v>360</v>
      </c>
      <c r="K385" s="66">
        <f>IF(J385="no",0,IF(OR(F385="None",F385="Cheval",F385="Legend",F385="Mystery",F385="Prophecy",F385="TsukumoGami"),0,IF(F385="Varies","V",IF(AND(G385=0,CharacterSheet!$R$36="No"),0,IF(AND(G385=0,CharacterSheet!$R$36="Yes"),LOOKUP(D385,Reference!$N$2:$N$10,Reference!$O$2:$O$10),IF(G385&gt;0,LOOKUP(D385,Reference!$N$2:$N$10,Reference!$P$2:$P$10),"ERROR"))))))</f>
        <v>0</v>
      </c>
      <c r="L385" s="66" t="s">
        <v>361</v>
      </c>
      <c r="M385" s="66">
        <f>IF(E385="V","V",IF(J385="Yes",K385,0)+IF(L385="Yes",CharacterSheet!D240,0))</f>
        <v>0</v>
      </c>
      <c r="N385" s="66" t="s">
        <v>1072</v>
      </c>
      <c r="O385" s="66" t="s">
        <v>1559</v>
      </c>
      <c r="P385" s="66" t="s">
        <v>141</v>
      </c>
      <c r="Q385" s="188">
        <v>153</v>
      </c>
    </row>
    <row r="386" spans="1:17" x14ac:dyDescent="0.25">
      <c r="A386" s="86" t="s">
        <v>1118</v>
      </c>
      <c r="B386" s="39" t="s">
        <v>375</v>
      </c>
      <c r="C386" s="39">
        <v>2</v>
      </c>
      <c r="D386" s="66" t="s">
        <v>30</v>
      </c>
      <c r="E386" s="66">
        <f>LOOKUP(D386,Reference!$B$33:$B$46,Reference!$C$33:$C$46)</f>
        <v>1</v>
      </c>
      <c r="F386" s="66" t="s">
        <v>51</v>
      </c>
      <c r="G386" s="66">
        <f>LOOKUP(F386,Reference!$D$32:$D$55,Reference!$E$32:$E$55)</f>
        <v>0</v>
      </c>
      <c r="H386" s="66" t="s">
        <v>361</v>
      </c>
      <c r="I386" s="57">
        <f>IF(OR(E386="V",G386="V"),"V",IF(AND(E386="None",G386="None"),"None",(IF(E386="None",0,E386)+IF(G386="None",0,G386)+IF(H386="Yes",CharacterSheet!$V$34,0))))</f>
        <v>1</v>
      </c>
      <c r="J386" s="57" t="s">
        <v>360</v>
      </c>
      <c r="K386" s="66">
        <f>IF(J386="no",0,IF(OR(F386="None",F386="Cheval",F386="Legend",F386="Mystery",F386="Prophecy",F386="TsukumoGami"),0,IF(F386="Varies","V",IF(AND(G386=0,CharacterSheet!$R$36="No"),0,IF(AND(G386=0,CharacterSheet!$R$36="Yes"),LOOKUP(D386,Reference!$N$2:$N$10,Reference!$O$2:$O$10),IF(G386&gt;0,LOOKUP(D386,Reference!$N$2:$N$10,Reference!$P$2:$P$10),"ERROR"))))))</f>
        <v>0</v>
      </c>
      <c r="L386" s="66" t="s">
        <v>361</v>
      </c>
      <c r="M386" s="66">
        <f>IF(E386="V","V",IF(J386="Yes",K386,0)+IF(L386="Yes",CharacterSheet!D358,0))</f>
        <v>0</v>
      </c>
      <c r="N386" s="66" t="s">
        <v>1645</v>
      </c>
      <c r="O386" s="66" t="s">
        <v>1556</v>
      </c>
      <c r="P386" s="66" t="s">
        <v>141</v>
      </c>
      <c r="Q386" s="188">
        <v>145</v>
      </c>
    </row>
    <row r="387" spans="1:17" x14ac:dyDescent="0.25">
      <c r="A387" s="86" t="s">
        <v>1217</v>
      </c>
      <c r="B387" s="39" t="s">
        <v>377</v>
      </c>
      <c r="C387" s="39">
        <v>7</v>
      </c>
      <c r="D387" s="66" t="s">
        <v>21</v>
      </c>
      <c r="E387" s="66">
        <f>LOOKUP(D387,Reference!$B$33:$B$46,Reference!$C$33:$C$46)</f>
        <v>1</v>
      </c>
      <c r="F387" s="66" t="s">
        <v>56</v>
      </c>
      <c r="G387" s="66">
        <f>LOOKUP(F387,Reference!$D$32:$D$55,Reference!$E$32:$E$55)</f>
        <v>0</v>
      </c>
      <c r="H387" s="66" t="s">
        <v>361</v>
      </c>
      <c r="I387" s="57">
        <f>IF(OR(E387="V",G387="V"),"V",IF(AND(E387="None",G387="None"),"None",(IF(E387="None",0,E387)+IF(G387="None",0,G387)+IF(H387="Yes",CharacterSheet!$V$34,0))))</f>
        <v>1</v>
      </c>
      <c r="J387" s="57" t="s">
        <v>360</v>
      </c>
      <c r="K387" s="66">
        <f>IF(J387="no",0,IF(OR(F387="None",F387="Cheval",F387="Legend",F387="Mystery",F387="Prophecy",F387="TsukumoGami"),0,IF(F387="Varies","V",IF(AND(G387=0,CharacterSheet!$R$36="No"),0,IF(AND(G387=0,CharacterSheet!$R$36="Yes"),LOOKUP(D387,Reference!$N$2:$N$10,Reference!$O$2:$O$10),IF(G387&gt;0,LOOKUP(D387,Reference!$N$2:$N$10,Reference!$P$2:$P$10),"ERROR"))))))</f>
        <v>0</v>
      </c>
      <c r="L387" s="66" t="s">
        <v>361</v>
      </c>
      <c r="M387" s="66">
        <f>IF(E387="V","V",IF(J387="Yes",K387,0)+IF(L387="Yes",CharacterSheet!D149,0))</f>
        <v>0</v>
      </c>
      <c r="N387" s="66" t="s">
        <v>1588</v>
      </c>
      <c r="O387" s="66" t="s">
        <v>1614</v>
      </c>
      <c r="P387" s="66" t="s">
        <v>1067</v>
      </c>
      <c r="Q387" s="188">
        <v>87</v>
      </c>
    </row>
    <row r="388" spans="1:17" x14ac:dyDescent="0.25">
      <c r="A388" s="86" t="s">
        <v>1412</v>
      </c>
      <c r="B388" s="39" t="s">
        <v>371</v>
      </c>
      <c r="C388" s="39">
        <v>2</v>
      </c>
      <c r="D388" s="66" t="s">
        <v>20</v>
      </c>
      <c r="E388" s="66">
        <f>LOOKUP(D388,Reference!$B$33:$B$46,Reference!$C$33:$C$46)</f>
        <v>1</v>
      </c>
      <c r="F388" s="66" t="s">
        <v>58</v>
      </c>
      <c r="G388" s="66">
        <f>LOOKUP(F388,Reference!$D$32:$D$55,Reference!$E$32:$E$55)</f>
        <v>0</v>
      </c>
      <c r="H388" s="66" t="s">
        <v>361</v>
      </c>
      <c r="I388" s="57">
        <f>IF(OR(E388="V",G388="V"),"V",IF(AND(E388="None",G388="None"),"None",(IF(E388="None",0,E388)+IF(G388="None",0,G388)+IF(H388="Yes",CharacterSheet!$V$34,0))))</f>
        <v>1</v>
      </c>
      <c r="J388" s="57" t="s">
        <v>360</v>
      </c>
      <c r="K388" s="66">
        <f>IF(J388="no",0,IF(OR(F388="None",F388="Cheval",F388="Legend",F388="Mystery",F388="Prophecy",F388="TsukumoGami"),0,IF(F388="Varies","V",IF(AND(G388=0,CharacterSheet!$R$36="No"),0,IF(AND(G388=0,CharacterSheet!$R$36="Yes"),LOOKUP(D388,Reference!$N$2:$N$10,Reference!$O$2:$O$10),IF(G388&gt;0,LOOKUP(D388,Reference!$N$2:$N$10,Reference!$P$2:$P$10),"ERROR"))))))</f>
        <v>0</v>
      </c>
      <c r="L388" s="66" t="s">
        <v>361</v>
      </c>
      <c r="M388" s="66">
        <f>IF(E388="V","V",IF(J388="Yes",K388,0)+IF(L388="Yes",CharacterSheet!D337,0))</f>
        <v>0</v>
      </c>
      <c r="N388" s="66" t="s">
        <v>1072</v>
      </c>
      <c r="O388" s="66" t="s">
        <v>1681</v>
      </c>
      <c r="P388" s="66" t="s">
        <v>1068</v>
      </c>
      <c r="Q388" s="188">
        <v>73</v>
      </c>
    </row>
    <row r="389" spans="1:17" x14ac:dyDescent="0.25">
      <c r="A389" s="86" t="s">
        <v>1157</v>
      </c>
      <c r="B389" s="39" t="s">
        <v>385</v>
      </c>
      <c r="C389" s="39">
        <v>2</v>
      </c>
      <c r="D389" s="66" t="s">
        <v>21</v>
      </c>
      <c r="E389" s="66">
        <f>LOOKUP(D389,Reference!$B$33:$B$46,Reference!$C$33:$C$46)</f>
        <v>1</v>
      </c>
      <c r="F389" s="66" t="s">
        <v>51</v>
      </c>
      <c r="G389" s="66">
        <f>LOOKUP(F389,Reference!$D$32:$D$55,Reference!$E$32:$E$55)</f>
        <v>0</v>
      </c>
      <c r="H389" s="66" t="s">
        <v>361</v>
      </c>
      <c r="I389" s="57">
        <f>IF(OR(E389="V",G389="V"),"V",IF(AND(E389="None",G389="None"),"None",(IF(E389="None",0,E389)+IF(G389="None",0,G389)+IF(H389="Yes",CharacterSheet!$V$34,0))))</f>
        <v>1</v>
      </c>
      <c r="J389" s="57" t="s">
        <v>360</v>
      </c>
      <c r="K389" s="66">
        <f>IF(J389="no",0,IF(OR(F389="None",F389="Cheval",F389="Legend",F389="Mystery",F389="Prophecy",F389="TsukumoGami"),0,IF(F389="Varies","V",IF(AND(G389=0,CharacterSheet!$R$36="No"),0,IF(AND(G389=0,CharacterSheet!$R$36="Yes"),LOOKUP(D389,Reference!$N$2:$N$10,Reference!$O$2:$O$10),IF(G389&gt;0,LOOKUP(D389,Reference!$N$2:$N$10,Reference!$P$2:$P$10),"ERROR"))))))</f>
        <v>0</v>
      </c>
      <c r="L389" s="66" t="s">
        <v>361</v>
      </c>
      <c r="M389" s="66">
        <f>IF(E389="V","V",IF(J389="Yes",K389,0)+IF(L389="Yes",CharacterSheet!D262,0))</f>
        <v>0</v>
      </c>
      <c r="N389" s="66" t="s">
        <v>1566</v>
      </c>
      <c r="O389" s="66" t="s">
        <v>1577</v>
      </c>
      <c r="P389" s="66" t="s">
        <v>141</v>
      </c>
      <c r="Q389" s="188">
        <v>154</v>
      </c>
    </row>
    <row r="390" spans="1:17" x14ac:dyDescent="0.25">
      <c r="A390" s="87" t="s">
        <v>1534</v>
      </c>
      <c r="B390" s="66" t="s">
        <v>385</v>
      </c>
      <c r="C390" s="66">
        <v>1</v>
      </c>
      <c r="D390" s="66" t="s">
        <v>21</v>
      </c>
      <c r="E390" s="66">
        <f>LOOKUP(D390,Reference!$B$33:$B$46,Reference!$C$33:$C$46)</f>
        <v>1</v>
      </c>
      <c r="F390" s="66" t="s">
        <v>55</v>
      </c>
      <c r="G390" s="66">
        <f>LOOKUP(F390,Reference!$D$32:$D$55,Reference!$E$32:$E$55)</f>
        <v>0</v>
      </c>
      <c r="H390" s="66" t="s">
        <v>361</v>
      </c>
      <c r="I390" s="57">
        <f>IF(OR(E390="V",G390="V"),"V",IF(AND(E390="None",G390="None"),"None",(IF(E390="None",0,E390)+IF(G390="None",0,G390)+IF(H390="Yes",CharacterSheet!$V$34,0))))</f>
        <v>1</v>
      </c>
      <c r="J390" s="57" t="s">
        <v>360</v>
      </c>
      <c r="K390" s="66">
        <f>IF(J390="no",0,IF(OR(F390="None",F390="Cheval",F390="Legend",F390="Mystery",F390="Prophecy",F390="TsukumoGami"),0,IF(F390="Varies","V",IF(AND(G390=0,CharacterSheet!$R$36="No"),0,IF(AND(G390=0,CharacterSheet!$R$36="Yes"),LOOKUP(D390,Reference!$N$2:$N$10,Reference!$O$2:$O$10),IF(G390&gt;0,LOOKUP(D390,Reference!$N$2:$N$10,Reference!$P$2:$P$10),"ERROR"))))))</f>
        <v>0</v>
      </c>
      <c r="L390" s="66" t="s">
        <v>361</v>
      </c>
      <c r="M390" s="66">
        <f>IF(E390="V","V",IF(J390="Yes",K390,0)+IF(L390="Yes",CharacterSheet!D288,0))</f>
        <v>0</v>
      </c>
      <c r="N390" s="66" t="s">
        <v>1742</v>
      </c>
      <c r="O390" s="66" t="s">
        <v>1743</v>
      </c>
      <c r="P390" s="66" t="s">
        <v>1507</v>
      </c>
      <c r="Q390" s="188">
        <v>44</v>
      </c>
    </row>
    <row r="391" spans="1:17" x14ac:dyDescent="0.25">
      <c r="A391" s="86" t="s">
        <v>1305</v>
      </c>
      <c r="B391" s="39" t="s">
        <v>375</v>
      </c>
      <c r="C391" s="39">
        <v>8</v>
      </c>
      <c r="D391" s="66" t="s">
        <v>20</v>
      </c>
      <c r="E391" s="66">
        <f>LOOKUP(D391,Reference!$B$33:$B$46,Reference!$C$33:$C$46)</f>
        <v>1</v>
      </c>
      <c r="F391" s="66" t="s">
        <v>41</v>
      </c>
      <c r="G391" s="66">
        <f>LOOKUP(F391,Reference!$D$32:$D$55,Reference!$E$32:$E$55)</f>
        <v>0</v>
      </c>
      <c r="H391" s="66" t="s">
        <v>361</v>
      </c>
      <c r="I391" s="57">
        <f>IF(OR(E391="V",G391="V"),"V",IF(AND(E391="None",G391="None"),"None",(IF(E391="None",0,E391)+IF(G391="None",0,G391)+IF(H391="Yes",CharacterSheet!$V$34,0))))</f>
        <v>1</v>
      </c>
      <c r="J391" s="57" t="s">
        <v>360</v>
      </c>
      <c r="K391" s="66">
        <f>IF(J391="no",0,IF(OR(F391="None",F391="Cheval",F391="Legend",F391="Mystery",F391="Prophecy",F391="TsukumoGami"),0,IF(F391="Varies","V",IF(AND(G391=0,CharacterSheet!$R$36="No"),0,IF(AND(G391=0,CharacterSheet!$R$36="Yes"),LOOKUP(D391,Reference!$N$2:$N$10,Reference!$O$2:$O$10),IF(G391&gt;0,LOOKUP(D391,Reference!$N$2:$N$10,Reference!$P$2:$P$10),"ERROR"))))))</f>
        <v>0</v>
      </c>
      <c r="L391" s="66" t="s">
        <v>361</v>
      </c>
      <c r="M391" s="66">
        <f>IF(E391="V","V",IF(J391="Yes",K391,0)+IF(L391="Yes",CharacterSheet!D73,0))</f>
        <v>0</v>
      </c>
      <c r="N391" s="66" t="s">
        <v>1656</v>
      </c>
      <c r="O391" s="66" t="s">
        <v>1609</v>
      </c>
      <c r="P391" s="66" t="s">
        <v>5</v>
      </c>
      <c r="Q391" s="188">
        <v>95</v>
      </c>
    </row>
    <row r="392" spans="1:17" x14ac:dyDescent="0.25">
      <c r="A392" s="86" t="s">
        <v>1257</v>
      </c>
      <c r="B392" s="39" t="s">
        <v>385</v>
      </c>
      <c r="C392" s="39">
        <v>7</v>
      </c>
      <c r="D392" s="66" t="s">
        <v>13</v>
      </c>
      <c r="E392" s="66">
        <f>LOOKUP(D392,Reference!$B$33:$B$46,Reference!$C$33:$C$46)</f>
        <v>1</v>
      </c>
      <c r="F392" s="66" t="s">
        <v>49</v>
      </c>
      <c r="G392" s="66">
        <f>LOOKUP(F392,Reference!$D$32:$D$55,Reference!$E$32:$E$55)</f>
        <v>0</v>
      </c>
      <c r="H392" s="66" t="s">
        <v>361</v>
      </c>
      <c r="I392" s="57">
        <f>IF(OR(E392="V",G392="V"),"V",IF(AND(E392="None",G392="None"),"None",(IF(E392="None",0,E392)+IF(G392="None",0,G392)+IF(H392="Yes",CharacterSheet!$V$34,0))))</f>
        <v>1</v>
      </c>
      <c r="J392" s="57" t="s">
        <v>360</v>
      </c>
      <c r="K392" s="66">
        <f>IF(J392="no",0,IF(OR(F392="None",F392="Cheval",F392="Legend",F392="Mystery",F392="Prophecy",F392="TsukumoGami"),0,IF(F392="Varies","V",IF(AND(G392=0,CharacterSheet!$R$36="No"),0,IF(AND(G392=0,CharacterSheet!$R$36="Yes"),LOOKUP(D392,Reference!$N$2:$N$10,Reference!$O$2:$O$10),IF(G392&gt;0,LOOKUP(D392,Reference!$N$2:$N$10,Reference!$P$2:$P$10),"ERROR"))))))</f>
        <v>0</v>
      </c>
      <c r="L392" s="66" t="s">
        <v>361</v>
      </c>
      <c r="M392" s="66">
        <f>IF(E392="V","V",IF(J392="Yes",K392,0)+IF(L392="Yes",CharacterSheet!D286,0))</f>
        <v>0</v>
      </c>
      <c r="N392" s="66" t="s">
        <v>1601</v>
      </c>
      <c r="O392" s="66" t="s">
        <v>1623</v>
      </c>
      <c r="P392" s="66" t="s">
        <v>1067</v>
      </c>
      <c r="Q392" s="188">
        <v>98</v>
      </c>
    </row>
    <row r="393" spans="1:17" x14ac:dyDescent="0.25">
      <c r="A393" s="86" t="s">
        <v>1440</v>
      </c>
      <c r="B393" s="39" t="s">
        <v>385</v>
      </c>
      <c r="C393" s="39">
        <v>7</v>
      </c>
      <c r="D393" s="66" t="s">
        <v>16</v>
      </c>
      <c r="E393" s="66">
        <f>LOOKUP(D393,Reference!$B$33:$B$46,Reference!$C$33:$C$46)</f>
        <v>1</v>
      </c>
      <c r="F393" s="66" t="s">
        <v>51</v>
      </c>
      <c r="G393" s="66">
        <f>LOOKUP(F393,Reference!$D$32:$D$55,Reference!$E$32:$E$55)</f>
        <v>0</v>
      </c>
      <c r="H393" s="66" t="s">
        <v>361</v>
      </c>
      <c r="I393" s="57">
        <f>IF(OR(E393="V",G393="V"),"V",IF(AND(E393="None",G393="None"),"None",(IF(E393="None",0,E393)+IF(G393="None",0,G393)+IF(H393="Yes",CharacterSheet!$V$34,0))))</f>
        <v>1</v>
      </c>
      <c r="J393" s="57" t="s">
        <v>360</v>
      </c>
      <c r="K393" s="66">
        <f>IF(J393="no",0,IF(OR(F393="None",F393="Cheval",F393="Legend",F393="Mystery",F393="Prophecy",F393="TsukumoGami"),0,IF(F393="Varies","V",IF(AND(G393=0,CharacterSheet!$R$36="No"),0,IF(AND(G393=0,CharacterSheet!$R$36="Yes"),LOOKUP(D393,Reference!$N$2:$N$10,Reference!$O$2:$O$10),IF(G393&gt;0,LOOKUP(D393,Reference!$N$2:$N$10,Reference!$P$2:$P$10),"ERROR"))))))</f>
        <v>0</v>
      </c>
      <c r="L393" s="66" t="s">
        <v>361</v>
      </c>
      <c r="M393" s="66">
        <f>IF(E393="V","V",IF(J393="Yes",K393,0)+IF(L393="Yes",CharacterSheet!D145,0))</f>
        <v>0</v>
      </c>
      <c r="N393" s="66" t="s">
        <v>1631</v>
      </c>
      <c r="O393" s="66" t="s">
        <v>1559</v>
      </c>
      <c r="P393" s="66" t="s">
        <v>1068</v>
      </c>
      <c r="Q393" s="188">
        <v>81</v>
      </c>
    </row>
    <row r="394" spans="1:17" x14ac:dyDescent="0.25">
      <c r="A394" s="86" t="s">
        <v>1327</v>
      </c>
      <c r="B394" s="39" t="s">
        <v>381</v>
      </c>
      <c r="C394" s="39">
        <v>10</v>
      </c>
      <c r="D394" s="66" t="s">
        <v>13</v>
      </c>
      <c r="E394" s="66">
        <f>LOOKUP(D394,Reference!$B$33:$B$46,Reference!$C$33:$C$46)</f>
        <v>1</v>
      </c>
      <c r="F394" s="66" t="s">
        <v>57</v>
      </c>
      <c r="G394" s="66">
        <f>LOOKUP(F394,Reference!$D$32:$D$55,Reference!$E$32:$E$55)</f>
        <v>0</v>
      </c>
      <c r="H394" s="66" t="s">
        <v>361</v>
      </c>
      <c r="I394" s="57">
        <f>IF(OR(E394="V",G394="V"),"V",IF(AND(E394="None",G394="None"),"None",(IF(E394="None",0,E394)+IF(G394="None",0,G394)+IF(H394="Yes",CharacterSheet!$V$34,0))))</f>
        <v>1</v>
      </c>
      <c r="J394" s="57" t="s">
        <v>360</v>
      </c>
      <c r="K394" s="66">
        <f>IF(J394="no",0,IF(OR(F394="None",F394="Cheval",F394="Legend",F394="Mystery",F394="Prophecy",F394="TsukumoGami"),0,IF(F394="Varies","V",IF(AND(G394=0,CharacterSheet!$R$36="No"),0,IF(AND(G394=0,CharacterSheet!$R$36="Yes"),LOOKUP(D394,Reference!$N$2:$N$10,Reference!$O$2:$O$10),IF(G394&gt;0,LOOKUP(D394,Reference!$N$2:$N$10,Reference!$P$2:$P$10),"ERROR"))))))</f>
        <v>0</v>
      </c>
      <c r="L394" s="66" t="s">
        <v>361</v>
      </c>
      <c r="M394" s="66">
        <f>IF(E394="V","V",IF(J394="Yes",K394,0)+IF(L394="Yes",CharacterSheet!D292,0))</f>
        <v>0</v>
      </c>
      <c r="N394" s="66" t="s">
        <v>1666</v>
      </c>
      <c r="O394" s="66" t="s">
        <v>1551</v>
      </c>
      <c r="P394" s="66" t="s">
        <v>5</v>
      </c>
      <c r="Q394" s="188">
        <v>104</v>
      </c>
    </row>
    <row r="395" spans="1:17" x14ac:dyDescent="0.25">
      <c r="A395" s="86" t="s">
        <v>1436</v>
      </c>
      <c r="B395" s="39" t="s">
        <v>385</v>
      </c>
      <c r="C395" s="39">
        <v>3</v>
      </c>
      <c r="D395" s="66" t="s">
        <v>16</v>
      </c>
      <c r="E395" s="66">
        <f>LOOKUP(D395,Reference!$B$33:$B$46,Reference!$C$33:$C$46)</f>
        <v>1</v>
      </c>
      <c r="F395" s="66" t="s">
        <v>51</v>
      </c>
      <c r="G395" s="66">
        <f>LOOKUP(F395,Reference!$D$32:$D$55,Reference!$E$32:$E$55)</f>
        <v>0</v>
      </c>
      <c r="H395" s="66" t="s">
        <v>361</v>
      </c>
      <c r="I395" s="57">
        <f>IF(OR(E395="V",G395="V"),"V",IF(AND(E395="None",G395="None"),"None",(IF(E395="None",0,E395)+IF(G395="None",0,G395)+IF(H395="Yes",CharacterSheet!$V$34,0))))</f>
        <v>1</v>
      </c>
      <c r="J395" s="57" t="s">
        <v>360</v>
      </c>
      <c r="K395" s="66">
        <f>IF(J395="no",0,IF(OR(F395="None",F395="Cheval",F395="Legend",F395="Mystery",F395="Prophecy",F395="TsukumoGami"),0,IF(F395="Varies","V",IF(AND(G395=0,CharacterSheet!$R$36="No"),0,IF(AND(G395=0,CharacterSheet!$R$36="Yes"),LOOKUP(D395,Reference!$N$2:$N$10,Reference!$O$2:$O$10),IF(G395&gt;0,LOOKUP(D395,Reference!$N$2:$N$10,Reference!$P$2:$P$10),"ERROR"))))))</f>
        <v>0</v>
      </c>
      <c r="L395" s="66" t="s">
        <v>361</v>
      </c>
      <c r="M395" s="66">
        <f>IF(E395="V","V",IF(J395="Yes",K395,0)+IF(L395="Yes",CharacterSheet!D359,0))</f>
        <v>0</v>
      </c>
      <c r="N395" s="66" t="s">
        <v>1689</v>
      </c>
      <c r="O395" s="66" t="s">
        <v>1559</v>
      </c>
      <c r="P395" s="66" t="s">
        <v>1068</v>
      </c>
      <c r="Q395" s="188">
        <v>80</v>
      </c>
    </row>
    <row r="396" spans="1:17" x14ac:dyDescent="0.25">
      <c r="A396" s="86" t="s">
        <v>1390</v>
      </c>
      <c r="B396" s="39" t="s">
        <v>190</v>
      </c>
      <c r="C396" s="39">
        <v>9</v>
      </c>
      <c r="D396" s="66" t="s">
        <v>17</v>
      </c>
      <c r="E396" s="66">
        <f>LOOKUP(D396,Reference!$B$33:$B$46,Reference!$C$33:$C$46)</f>
        <v>1</v>
      </c>
      <c r="F396" s="66" t="s">
        <v>51</v>
      </c>
      <c r="G396" s="66">
        <f>LOOKUP(F396,Reference!$D$32:$D$55,Reference!$E$32:$E$55)</f>
        <v>0</v>
      </c>
      <c r="H396" s="66" t="s">
        <v>361</v>
      </c>
      <c r="I396" s="57">
        <f>IF(OR(E396="V",G396="V"),"V",IF(AND(E396="None",G396="None"),"None",(IF(E396="None",0,E396)+IF(G396="None",0,G396)+IF(H396="Yes",CharacterSheet!$V$34,0))))</f>
        <v>1</v>
      </c>
      <c r="J396" s="57" t="s">
        <v>360</v>
      </c>
      <c r="K396" s="66">
        <f>IF(J396="no",0,IF(OR(F396="None",F396="Cheval",F396="Legend",F396="Mystery",F396="Prophecy",F396="TsukumoGami"),0,IF(F396="Varies","V",IF(AND(G396=0,CharacterSheet!$R$36="No"),0,IF(AND(G396=0,CharacterSheet!$R$36="Yes"),LOOKUP(D396,Reference!$N$2:$N$10,Reference!$O$2:$O$10),IF(G396&gt;0,LOOKUP(D396,Reference!$N$2:$N$10,Reference!$P$2:$P$10),"ERROR"))))))</f>
        <v>0</v>
      </c>
      <c r="L396" s="66" t="s">
        <v>361</v>
      </c>
      <c r="M396" s="66">
        <f>IF(E396="V","V",IF(J396="Yes",K396,0)+IF(L396="Yes",CharacterSheet!D148,0))</f>
        <v>0</v>
      </c>
      <c r="N396" s="66" t="s">
        <v>1668</v>
      </c>
      <c r="O396" s="66" t="s">
        <v>1576</v>
      </c>
      <c r="P396" s="66" t="s">
        <v>1068</v>
      </c>
      <c r="Q396" s="188">
        <v>25</v>
      </c>
    </row>
    <row r="397" spans="1:17" x14ac:dyDescent="0.25">
      <c r="A397" s="86" t="s">
        <v>1187</v>
      </c>
      <c r="B397" s="39" t="s">
        <v>371</v>
      </c>
      <c r="C397" s="39">
        <v>5</v>
      </c>
      <c r="D397" s="66" t="s">
        <v>20</v>
      </c>
      <c r="E397" s="66">
        <f>LOOKUP(D397,Reference!$B$33:$B$46,Reference!$C$33:$C$46)</f>
        <v>1</v>
      </c>
      <c r="F397" s="66" t="s">
        <v>53</v>
      </c>
      <c r="G397" s="66">
        <f>LOOKUP(F397,Reference!$D$32:$D$55,Reference!$E$32:$E$55)</f>
        <v>0</v>
      </c>
      <c r="H397" s="66" t="s">
        <v>361</v>
      </c>
      <c r="I397" s="57">
        <f>IF(OR(E397="V",G397="V"),"V",IF(AND(E397="None",G397="None"),"None",(IF(E397="None",0,E397)+IF(G397="None",0,G397)+IF(H397="Yes",CharacterSheet!$V$34,0))))</f>
        <v>1</v>
      </c>
      <c r="J397" s="57" t="s">
        <v>360</v>
      </c>
      <c r="K397" s="66">
        <f>IF(J397="no",0,IF(OR(F397="None",F397="Cheval",F397="Legend",F397="Mystery",F397="Prophecy",F397="TsukumoGami"),0,IF(F397="Varies","V",IF(AND(G397=0,CharacterSheet!$R$36="No"),0,IF(AND(G397=0,CharacterSheet!$R$36="Yes"),LOOKUP(D397,Reference!$N$2:$N$10,Reference!$O$2:$O$10),IF(G397&gt;0,LOOKUP(D397,Reference!$N$2:$N$10,Reference!$P$2:$P$10),"ERROR"))))))</f>
        <v>0</v>
      </c>
      <c r="L397" s="66" t="s">
        <v>361</v>
      </c>
      <c r="M397" s="66">
        <f>IF(E397="V","V",IF(J397="Yes",K397,0)+IF(L397="Yes",CharacterSheet!D129,0))</f>
        <v>0</v>
      </c>
      <c r="N397" s="66" t="s">
        <v>1076</v>
      </c>
      <c r="O397" s="66" t="s">
        <v>1605</v>
      </c>
      <c r="P397" s="66" t="s">
        <v>1067</v>
      </c>
      <c r="Q397" s="188">
        <v>76</v>
      </c>
    </row>
    <row r="398" spans="1:17" x14ac:dyDescent="0.25">
      <c r="A398" s="86" t="s">
        <v>1500</v>
      </c>
      <c r="B398" s="39" t="s">
        <v>378</v>
      </c>
      <c r="C398" s="39">
        <v>5</v>
      </c>
      <c r="D398" s="66" t="s">
        <v>83</v>
      </c>
      <c r="E398" s="66">
        <f>LOOKUP(D398,Reference!$B$33:$B$46,Reference!$C$33:$C$46)</f>
        <v>5</v>
      </c>
      <c r="F398" s="66" t="s">
        <v>60</v>
      </c>
      <c r="G398" s="66">
        <f>LOOKUP(F398,Reference!$D$32:$D$55,Reference!$E$32:$E$55)</f>
        <v>0</v>
      </c>
      <c r="H398" s="66" t="s">
        <v>361</v>
      </c>
      <c r="I398" s="57">
        <f>IF(OR(E398="V",G398="V"),"V",IF(AND(E398="None",G398="None"),"None",(IF(E398="None",0,E398)+IF(G398="None",0,G398)+IF(H398="Yes",CharacterSheet!$V$34,0))))</f>
        <v>5</v>
      </c>
      <c r="J398" s="57" t="s">
        <v>361</v>
      </c>
      <c r="K398" s="66">
        <f>IF(J398="no",0,IF(OR(F398="None",F398="Cheval",F398="Legend",F398="Mystery",F398="Prophecy",F398="TsukumoGami"),0,IF(F398="Varies","V",IF(AND(G398=0,CharacterSheet!$R$36="No"),0,IF(AND(G398=0,CharacterSheet!$R$36="Yes"),LOOKUP(D398,Reference!$N$2:$N$10,Reference!$O$2:$O$10),IF(G398&gt;0,LOOKUP(D398,Reference!$N$2:$N$10,Reference!$P$2:$P$10),"ERROR"))))))</f>
        <v>0</v>
      </c>
      <c r="L398" s="66" t="s">
        <v>361</v>
      </c>
      <c r="M398" s="66">
        <f>IF(E398="V","V",IF(J398="Yes",K398,0)+IF(L398="Yes",CharacterSheet!D105,0))</f>
        <v>0</v>
      </c>
      <c r="N398" s="66" t="s">
        <v>1086</v>
      </c>
      <c r="O398" s="66" t="s">
        <v>1697</v>
      </c>
      <c r="P398" s="66" t="s">
        <v>1485</v>
      </c>
      <c r="Q398" s="188">
        <v>18</v>
      </c>
    </row>
    <row r="399" spans="1:17" x14ac:dyDescent="0.25">
      <c r="A399" s="86" t="s">
        <v>1334</v>
      </c>
      <c r="B399" s="39" t="s">
        <v>185</v>
      </c>
      <c r="C399" s="39">
        <v>10</v>
      </c>
      <c r="D399" s="66" t="s">
        <v>1086</v>
      </c>
      <c r="E399" s="66" t="str">
        <f>LOOKUP(D399,Reference!$B$33:$B$46,Reference!$C$33:$C$46)</f>
        <v>V</v>
      </c>
      <c r="F399" s="66" t="s">
        <v>1086</v>
      </c>
      <c r="G399" s="66" t="str">
        <f>LOOKUP(F399,Reference!$D$32:$D$55,Reference!$E$32:$E$55)</f>
        <v>V</v>
      </c>
      <c r="H399" s="66" t="s">
        <v>361</v>
      </c>
      <c r="I399" s="57" t="str">
        <f>IF(OR(E399="V",G399="V"),"V",IF(AND(E399="None",G399="None"),"None",(IF(E399="None",0,E399)+IF(G399="None",0,G399)+IF(H399="Yes",CharacterSheet!$V$34,0))))</f>
        <v>V</v>
      </c>
      <c r="J399" s="57" t="s">
        <v>360</v>
      </c>
      <c r="K399" s="66" t="str">
        <f>IF(J399="no",0,IF(OR(F399="None",F399="Cheval",F399="Legend",F399="Mystery",F399="Prophecy",F399="TsukumoGami"),0,IF(F399="Varies","V",IF(AND(G399=0,CharacterSheet!$R$36="No"),0,IF(AND(G399=0,CharacterSheet!$R$36="Yes"),LOOKUP(D399,Reference!$N$2:$N$10,Reference!$O$2:$O$10),IF(G399&gt;0,LOOKUP(D399,Reference!$N$2:$N$10,Reference!$P$2:$P$10),"ERROR"))))))</f>
        <v>V</v>
      </c>
      <c r="L399" s="66" t="s">
        <v>361</v>
      </c>
      <c r="M399" s="66" t="str">
        <f>IF(E399="V","V",IF(J399="Yes",K399,0)+IF(L399="Yes",CharacterSheet!D290,0))</f>
        <v>V</v>
      </c>
      <c r="N399" s="66" t="s">
        <v>1668</v>
      </c>
      <c r="O399" s="66" t="s">
        <v>1086</v>
      </c>
      <c r="P399" s="66" t="s">
        <v>5</v>
      </c>
      <c r="Q399" s="188">
        <v>105</v>
      </c>
    </row>
    <row r="400" spans="1:17" x14ac:dyDescent="0.25">
      <c r="A400" s="87" t="s">
        <v>1509</v>
      </c>
      <c r="B400" s="66" t="s">
        <v>704</v>
      </c>
      <c r="C400" s="39">
        <v>2</v>
      </c>
      <c r="D400" s="66" t="s">
        <v>508</v>
      </c>
      <c r="E400" s="66" t="str">
        <f>LOOKUP(D400,Reference!$B$33:$B$46,Reference!$C$33:$C$46)</f>
        <v>None</v>
      </c>
      <c r="F400" s="66" t="s">
        <v>508</v>
      </c>
      <c r="G400" s="66" t="str">
        <f>LOOKUP(F400,Reference!$D$32:$D$55,Reference!$E$32:$E$55)</f>
        <v>None</v>
      </c>
      <c r="H400" s="66" t="s">
        <v>361</v>
      </c>
      <c r="I400" s="57" t="str">
        <f>IF(OR(E400="V",G400="V"),"V",IF(AND(E400="None",G400="None"),"None",(IF(E400="None",0,E400)+IF(G400="None",0,G400)+IF(H400="Yes",CharacterSheet!$V$34,0))))</f>
        <v>None</v>
      </c>
      <c r="J400" s="57" t="s">
        <v>361</v>
      </c>
      <c r="K400" s="66">
        <f>IF(J400="no",0,IF(OR(F400="None",F400="Cheval",F400="Legend",F400="Mystery",F400="Prophecy",F400="TsukumoGami"),0,IF(F400="Varies","V",IF(AND(G400=0,CharacterSheet!$R$36="No"),0,IF(AND(G400=0,CharacterSheet!$R$36="Yes"),LOOKUP(D400,Reference!$N$2:$N$10,Reference!$O$2:$O$10),IF(G400&gt;0,LOOKUP(D400,Reference!$N$2:$N$10,Reference!$P$2:$P$10),"ERROR"))))))</f>
        <v>0</v>
      </c>
      <c r="L400" s="66" t="s">
        <v>361</v>
      </c>
      <c r="M400" s="66">
        <f>IF(E400="V","V",IF(J400="Yes",K400,0)+IF(L400="Yes",CharacterSheet!D494,0))</f>
        <v>0</v>
      </c>
      <c r="N400" s="66" t="s">
        <v>1072</v>
      </c>
      <c r="O400" s="66" t="s">
        <v>508</v>
      </c>
      <c r="P400" s="66" t="s">
        <v>1507</v>
      </c>
      <c r="Q400" s="188">
        <v>36</v>
      </c>
    </row>
    <row r="401" spans="1:17" x14ac:dyDescent="0.25">
      <c r="A401" s="86" t="s">
        <v>1401</v>
      </c>
      <c r="B401" s="39" t="s">
        <v>1366</v>
      </c>
      <c r="C401" s="39">
        <v>10</v>
      </c>
      <c r="D401" s="66" t="s">
        <v>20</v>
      </c>
      <c r="E401" s="66">
        <f>LOOKUP(D401,Reference!$B$33:$B$46,Reference!$C$33:$C$46)</f>
        <v>1</v>
      </c>
      <c r="F401" s="66" t="s">
        <v>58</v>
      </c>
      <c r="G401" s="66">
        <f>LOOKUP(F401,Reference!$D$32:$D$55,Reference!$E$32:$E$55)</f>
        <v>0</v>
      </c>
      <c r="H401" s="66" t="s">
        <v>361</v>
      </c>
      <c r="I401" s="57">
        <f>IF(OR(E401="V",G401="V"),"V",IF(AND(E401="None",G401="None"),"None",(IF(E401="None",0,E401)+IF(G401="None",0,G401)+IF(H401="Yes",CharacterSheet!$V$34,0))))</f>
        <v>1</v>
      </c>
      <c r="J401" s="57" t="s">
        <v>360</v>
      </c>
      <c r="K401" s="66">
        <f>IF(J401="no",0,IF(OR(F401="None",F401="Cheval",F401="Legend",F401="Mystery",F401="Prophecy",F401="TsukumoGami"),0,IF(F401="Varies","V",IF(AND(G401=0,CharacterSheet!$R$36="No"),0,IF(AND(G401=0,CharacterSheet!$R$36="Yes"),LOOKUP(D401,Reference!$N$2:$N$10,Reference!$O$2:$O$10),IF(G401&gt;0,LOOKUP(D401,Reference!$N$2:$N$10,Reference!$P$2:$P$10),"ERROR"))))))</f>
        <v>0</v>
      </c>
      <c r="L401" s="66" t="s">
        <v>361</v>
      </c>
      <c r="M401" s="66">
        <f>IF(E401="V","V",IF(J401="Yes",K401,0)+IF(L401="Yes",CharacterSheet!D90,0))</f>
        <v>0</v>
      </c>
      <c r="N401" s="66" t="s">
        <v>1676</v>
      </c>
      <c r="O401" s="66" t="s">
        <v>1681</v>
      </c>
      <c r="P401" s="66" t="s">
        <v>1068</v>
      </c>
      <c r="Q401" s="188">
        <v>70</v>
      </c>
    </row>
    <row r="402" spans="1:17" x14ac:dyDescent="0.25">
      <c r="A402" s="86" t="s">
        <v>1122</v>
      </c>
      <c r="B402" s="39" t="s">
        <v>376</v>
      </c>
      <c r="C402" s="39">
        <v>3</v>
      </c>
      <c r="D402" s="66" t="s">
        <v>508</v>
      </c>
      <c r="E402" s="66" t="str">
        <f>LOOKUP(D402,Reference!$B$33:$B$46,Reference!$C$33:$C$46)</f>
        <v>None</v>
      </c>
      <c r="F402" s="66" t="s">
        <v>508</v>
      </c>
      <c r="G402" s="66" t="str">
        <f>LOOKUP(F402,Reference!$D$32:$D$55,Reference!$E$32:$E$55)</f>
        <v>None</v>
      </c>
      <c r="H402" s="66" t="s">
        <v>361</v>
      </c>
      <c r="I402" s="57" t="str">
        <f>IF(OR(E402="V",G402="V"),"V",IF(AND(E402="None",G402="None"),"None",(IF(E402="None",0,E402)+IF(G402="None",0,G402)+IF(H402="Yes",CharacterSheet!$V$34,0))))</f>
        <v>None</v>
      </c>
      <c r="J402" s="57" t="s">
        <v>361</v>
      </c>
      <c r="K402" s="66">
        <f>IF(J402="no",0,IF(OR(F402="None",F402="Cheval",F402="Legend",F402="Mystery",F402="Prophecy",F402="TsukumoGami"),0,IF(F402="Varies","V",IF(AND(G402=0,CharacterSheet!$R$36="No"),0,IF(AND(G402=0,CharacterSheet!$R$36="Yes"),LOOKUP(D402,Reference!$N$2:$N$10,Reference!$O$2:$O$10),IF(G402&gt;0,LOOKUP(D402,Reference!$N$2:$N$10,Reference!$P$2:$P$10),"ERROR"))))))</f>
        <v>0</v>
      </c>
      <c r="L402" s="66" t="s">
        <v>361</v>
      </c>
      <c r="M402" s="66">
        <f>IF(E402="V","V",IF(J402="Yes",K402,0)+IF(L402="Yes",CharacterSheet!D427,0))</f>
        <v>0</v>
      </c>
      <c r="N402" s="66" t="s">
        <v>1072</v>
      </c>
      <c r="O402" s="66" t="s">
        <v>508</v>
      </c>
      <c r="P402" s="66" t="s">
        <v>141</v>
      </c>
      <c r="Q402" s="188">
        <v>146</v>
      </c>
    </row>
    <row r="403" spans="1:17" x14ac:dyDescent="0.25">
      <c r="A403" s="86" t="s">
        <v>1120</v>
      </c>
      <c r="B403" s="39" t="s">
        <v>376</v>
      </c>
      <c r="C403" s="39">
        <v>1</v>
      </c>
      <c r="D403" s="66" t="s">
        <v>508</v>
      </c>
      <c r="E403" s="66" t="str">
        <f>LOOKUP(D403,Reference!$B$33:$B$46,Reference!$C$33:$C$46)</f>
        <v>None</v>
      </c>
      <c r="F403" s="66" t="s">
        <v>508</v>
      </c>
      <c r="G403" s="66" t="str">
        <f>LOOKUP(F403,Reference!$D$32:$D$55,Reference!$E$32:$E$55)</f>
        <v>None</v>
      </c>
      <c r="H403" s="66" t="s">
        <v>361</v>
      </c>
      <c r="I403" s="57" t="str">
        <f>IF(OR(E403="V",G403="V"),"V",IF(AND(E403="None",G403="None"),"None",(IF(E403="None",0,E403)+IF(G403="None",0,G403)+IF(H403="Yes",CharacterSheet!$V$34,0))))</f>
        <v>None</v>
      </c>
      <c r="J403" s="57" t="s">
        <v>361</v>
      </c>
      <c r="K403" s="66">
        <f>IF(J403="no",0,IF(OR(F403="None",F403="Cheval",F403="Legend",F403="Mystery",F403="Prophecy",F403="TsukumoGami"),0,IF(F403="Varies","V",IF(AND(G403=0,CharacterSheet!$R$36="No"),0,IF(AND(G403=0,CharacterSheet!$R$36="Yes"),LOOKUP(D403,Reference!$N$2:$N$10,Reference!$O$2:$O$10),IF(G403&gt;0,LOOKUP(D403,Reference!$N$2:$N$10,Reference!$P$2:$P$10),"ERROR"))))))</f>
        <v>0</v>
      </c>
      <c r="L403" s="66" t="s">
        <v>361</v>
      </c>
      <c r="M403" s="66">
        <f>IF(E403="V","V",IF(J403="Yes",K403,0)+IF(L403="Yes",CharacterSheet!D363,0))</f>
        <v>0</v>
      </c>
      <c r="N403" s="66" t="s">
        <v>1072</v>
      </c>
      <c r="O403" s="66" t="s">
        <v>508</v>
      </c>
      <c r="P403" s="66" t="s">
        <v>141</v>
      </c>
      <c r="Q403" s="188">
        <v>146</v>
      </c>
    </row>
    <row r="404" spans="1:17" x14ac:dyDescent="0.25">
      <c r="A404" s="86" t="s">
        <v>1272</v>
      </c>
      <c r="B404" s="39" t="s">
        <v>367</v>
      </c>
      <c r="C404" s="39">
        <v>10</v>
      </c>
      <c r="D404" s="66" t="s">
        <v>21</v>
      </c>
      <c r="E404" s="66">
        <f>LOOKUP(D404,Reference!$B$33:$B$46,Reference!$C$33:$C$46)</f>
        <v>1</v>
      </c>
      <c r="F404" s="66" t="s">
        <v>57</v>
      </c>
      <c r="G404" s="66">
        <f>LOOKUP(F404,Reference!$D$32:$D$55,Reference!$E$32:$E$55)</f>
        <v>0</v>
      </c>
      <c r="H404" s="66" t="s">
        <v>361</v>
      </c>
      <c r="I404" s="57">
        <f>IF(OR(E404="V",G404="V"),"V",IF(AND(E404="None",G404="None"),"None",(IF(E404="None",0,E404)+IF(G404="None",0,G404)+IF(H404="Yes",CharacterSheet!$V$34,0))))</f>
        <v>1</v>
      </c>
      <c r="J404" s="57" t="s">
        <v>360</v>
      </c>
      <c r="K404" s="66">
        <f>IF(J404="no",0,IF(OR(F404="None",F404="Cheval",F404="Legend",F404="Mystery",F404="Prophecy",F404="TsukumoGami"),0,IF(F404="Varies","V",IF(AND(G404=0,CharacterSheet!$R$36="No"),0,IF(AND(G404=0,CharacterSheet!$R$36="Yes"),LOOKUP(D404,Reference!$N$2:$N$10,Reference!$O$2:$O$10),IF(G404&gt;0,LOOKUP(D404,Reference!$N$2:$N$10,Reference!$P$2:$P$10),"ERROR"))))))</f>
        <v>0</v>
      </c>
      <c r="L404" s="66" t="s">
        <v>361</v>
      </c>
      <c r="M404" s="66">
        <f>IF(E404="V","V",IF(J404="Yes",K404,0)+IF(L404="Yes",CharacterSheet!D400,0))</f>
        <v>0</v>
      </c>
      <c r="N404" s="66" t="s">
        <v>1660</v>
      </c>
      <c r="O404" s="66" t="s">
        <v>1679</v>
      </c>
      <c r="P404" s="66" t="s">
        <v>5</v>
      </c>
      <c r="Q404" s="188">
        <v>84</v>
      </c>
    </row>
    <row r="405" spans="1:17" x14ac:dyDescent="0.25">
      <c r="A405" s="86" t="s">
        <v>1405</v>
      </c>
      <c r="B405" s="39" t="s">
        <v>367</v>
      </c>
      <c r="C405" s="39">
        <v>8</v>
      </c>
      <c r="D405" s="66" t="s">
        <v>21</v>
      </c>
      <c r="E405" s="66">
        <f>LOOKUP(D405,Reference!$B$33:$B$46,Reference!$C$33:$C$46)</f>
        <v>1</v>
      </c>
      <c r="F405" s="66" t="s">
        <v>57</v>
      </c>
      <c r="G405" s="66">
        <f>LOOKUP(F405,Reference!$D$32:$D$55,Reference!$E$32:$E$55)</f>
        <v>0</v>
      </c>
      <c r="H405" s="66" t="s">
        <v>361</v>
      </c>
      <c r="I405" s="57">
        <f>IF(OR(E405="V",G405="V"),"V",IF(AND(E405="None",G405="None"),"None",(IF(E405="None",0,E405)+IF(G405="None",0,G405)+IF(H405="Yes",CharacterSheet!$V$34,0))))</f>
        <v>1</v>
      </c>
      <c r="J405" s="57" t="s">
        <v>360</v>
      </c>
      <c r="K405" s="66">
        <f>IF(J405="no",0,IF(OR(F405="None",F405="Cheval",F405="Legend",F405="Mystery",F405="Prophecy",F405="TsukumoGami"),0,IF(F405="Varies","V",IF(AND(G405=0,CharacterSheet!$R$36="No"),0,IF(AND(G405=0,CharacterSheet!$R$36="Yes"),LOOKUP(D405,Reference!$N$2:$N$10,Reference!$O$2:$O$10),IF(G405&gt;0,LOOKUP(D405,Reference!$N$2:$N$10,Reference!$P$2:$P$10),"ERROR"))))))</f>
        <v>0</v>
      </c>
      <c r="L405" s="66" t="s">
        <v>361</v>
      </c>
      <c r="M405" s="66">
        <f>IF(E405="V","V",IF(J405="Yes",K405,0)+IF(L405="Yes",CharacterSheet!D294,0))</f>
        <v>0</v>
      </c>
      <c r="N405" s="66" t="s">
        <v>1704</v>
      </c>
      <c r="O405" s="66" t="s">
        <v>1679</v>
      </c>
      <c r="P405" s="66" t="s">
        <v>1068</v>
      </c>
      <c r="Q405" s="188">
        <v>71</v>
      </c>
    </row>
    <row r="406" spans="1:17" x14ac:dyDescent="0.25">
      <c r="A406" s="86" t="s">
        <v>1098</v>
      </c>
      <c r="B406" s="39" t="s">
        <v>369</v>
      </c>
      <c r="C406" s="39">
        <v>3</v>
      </c>
      <c r="D406" s="66" t="s">
        <v>16</v>
      </c>
      <c r="E406" s="66">
        <f>LOOKUP(D406,Reference!$B$33:$B$46,Reference!$C$33:$C$46)</f>
        <v>1</v>
      </c>
      <c r="F406" s="66" t="s">
        <v>40</v>
      </c>
      <c r="G406" s="66">
        <f>LOOKUP(F406,Reference!$D$32:$D$55,Reference!$E$32:$E$55)</f>
        <v>0</v>
      </c>
      <c r="H406" s="66" t="s">
        <v>361</v>
      </c>
      <c r="I406" s="57">
        <f>IF(OR(E406="V",G406="V"),"V",IF(AND(E406="None",G406="None"),"None",(IF(E406="None",0,E406)+IF(G406="None",0,G406)+IF(H406="Yes",CharacterSheet!$V$34,0))))</f>
        <v>1</v>
      </c>
      <c r="J406" s="57" t="s">
        <v>360</v>
      </c>
      <c r="K406" s="66">
        <f>IF(J406="no",0,IF(OR(F406="None",F406="Cheval",F406="Legend",F406="Mystery",F406="Prophecy",F406="TsukumoGami"),0,IF(F406="Varies","V",IF(AND(G406=0,CharacterSheet!$R$36="No"),0,IF(AND(G406=0,CharacterSheet!$R$36="Yes"),LOOKUP(D406,Reference!$N$2:$N$10,Reference!$O$2:$O$10),IF(G406&gt;0,LOOKUP(D406,Reference!$N$2:$N$10,Reference!$P$2:$P$10),"ERROR"))))))</f>
        <v>0</v>
      </c>
      <c r="L406" s="66" t="s">
        <v>361</v>
      </c>
      <c r="M406" s="66">
        <f>IF(E406="V","V",IF(J406="Yes",K406,0)+IF(L406="Yes",CharacterSheet!D172,0))</f>
        <v>0</v>
      </c>
      <c r="N406" s="66" t="s">
        <v>1625</v>
      </c>
      <c r="O406" s="66" t="s">
        <v>1549</v>
      </c>
      <c r="P406" s="66" t="s">
        <v>141</v>
      </c>
      <c r="Q406" s="188">
        <v>141</v>
      </c>
    </row>
    <row r="407" spans="1:17" x14ac:dyDescent="0.25">
      <c r="A407" s="86" t="s">
        <v>1194</v>
      </c>
      <c r="B407" s="39" t="s">
        <v>373</v>
      </c>
      <c r="C407" s="39">
        <v>4</v>
      </c>
      <c r="D407" s="66" t="s">
        <v>14</v>
      </c>
      <c r="E407" s="66">
        <f>LOOKUP(D407,Reference!$B$33:$B$46,Reference!$C$33:$C$46)</f>
        <v>1</v>
      </c>
      <c r="F407" s="66" t="s">
        <v>42</v>
      </c>
      <c r="G407" s="66">
        <f>LOOKUP(F407,Reference!$D$32:$D$55,Reference!$E$32:$E$55)</f>
        <v>0</v>
      </c>
      <c r="H407" s="66" t="s">
        <v>361</v>
      </c>
      <c r="I407" s="57">
        <f>IF(OR(E407="V",G407="V"),"V",IF(AND(E407="None",G407="None"),"None",(IF(E407="None",0,E407)+IF(G407="None",0,G407)+IF(H407="Yes",CharacterSheet!$V$34,0))))</f>
        <v>1</v>
      </c>
      <c r="J407" s="57" t="s">
        <v>360</v>
      </c>
      <c r="K407" s="66">
        <f>IF(J407="no",0,IF(OR(F407="None",F407="Cheval",F407="Legend",F407="Mystery",F407="Prophecy",F407="TsukumoGami"),0,IF(F407="Varies","V",IF(AND(G407=0,CharacterSheet!$R$36="No"),0,IF(AND(G407=0,CharacterSheet!$R$36="Yes"),LOOKUP(D407,Reference!$N$2:$N$10,Reference!$O$2:$O$10),IF(G407&gt;0,LOOKUP(D407,Reference!$N$2:$N$10,Reference!$P$2:$P$10),"ERROR"))))))</f>
        <v>0</v>
      </c>
      <c r="L407" s="66" t="s">
        <v>361</v>
      </c>
      <c r="M407" s="66">
        <f>IF(E407="V","V",IF(J407="Yes",K407,0)+IF(L407="Yes",CharacterSheet!D273,0))</f>
        <v>0</v>
      </c>
      <c r="N407" s="66" t="s">
        <v>1634</v>
      </c>
      <c r="O407" s="66" t="s">
        <v>1553</v>
      </c>
      <c r="P407" s="66" t="s">
        <v>1067</v>
      </c>
      <c r="Q407" s="188">
        <v>79</v>
      </c>
    </row>
    <row r="408" spans="1:17" x14ac:dyDescent="0.25">
      <c r="A408" s="86" t="s">
        <v>1333</v>
      </c>
      <c r="B408" s="39" t="s">
        <v>185</v>
      </c>
      <c r="C408" s="39">
        <v>9</v>
      </c>
      <c r="D408" s="66" t="s">
        <v>17</v>
      </c>
      <c r="E408" s="66">
        <f>LOOKUP(D408,Reference!$B$33:$B$46,Reference!$C$33:$C$46)</f>
        <v>1</v>
      </c>
      <c r="F408" s="66" t="s">
        <v>185</v>
      </c>
      <c r="G408" s="66">
        <f>LOOKUP(F408,Reference!$D$32:$D$55,Reference!$E$32:$E$55)</f>
        <v>0</v>
      </c>
      <c r="H408" s="66" t="s">
        <v>361</v>
      </c>
      <c r="I408" s="57">
        <f>IF(OR(E408="V",G408="V"),"V",IF(AND(E408="None",G408="None"),"None",(IF(E408="None",0,E408)+IF(G408="None",0,G408)+IF(H408="Yes",CharacterSheet!$V$34,0))))</f>
        <v>1</v>
      </c>
      <c r="J408" s="57" t="s">
        <v>360</v>
      </c>
      <c r="K408" s="66">
        <f>IF(J408="no",0,IF(OR(F408="None",F408="Cheval",F408="Legend",F408="Mystery",F408="Prophecy",F408="TsukumoGami"),0,IF(F408="Varies","V",IF(AND(G408=0,CharacterSheet!$R$36="No"),0,IF(AND(G408=0,CharacterSheet!$R$36="Yes"),LOOKUP(D408,Reference!$N$2:$N$10,Reference!$O$2:$O$10),IF(G408&gt;0,LOOKUP(D408,Reference!$N$2:$N$10,Reference!$P$2:$P$10),"ERROR"))))))</f>
        <v>0</v>
      </c>
      <c r="L408" s="66" t="s">
        <v>361</v>
      </c>
      <c r="M408" s="66">
        <f>IF(E408="V","V",IF(J408="Yes",K408,0)+IF(L408="Yes",CharacterSheet!D332,0))</f>
        <v>0</v>
      </c>
      <c r="N408" s="66" t="s">
        <v>1667</v>
      </c>
      <c r="O408" s="66" t="s">
        <v>1618</v>
      </c>
      <c r="P408" s="66" t="s">
        <v>5</v>
      </c>
      <c r="Q408" s="188">
        <v>105</v>
      </c>
    </row>
    <row r="409" spans="1:17" x14ac:dyDescent="0.25">
      <c r="A409" s="86" t="s">
        <v>1189</v>
      </c>
      <c r="B409" s="39" t="s">
        <v>371</v>
      </c>
      <c r="C409" s="39">
        <v>7</v>
      </c>
      <c r="D409" s="66" t="s">
        <v>20</v>
      </c>
      <c r="E409" s="66">
        <f>LOOKUP(D409,Reference!$B$33:$B$46,Reference!$C$33:$C$46)</f>
        <v>1</v>
      </c>
      <c r="F409" s="66" t="s">
        <v>53</v>
      </c>
      <c r="G409" s="66">
        <f>LOOKUP(F409,Reference!$D$32:$D$55,Reference!$E$32:$E$55)</f>
        <v>0</v>
      </c>
      <c r="H409" s="66" t="s">
        <v>361</v>
      </c>
      <c r="I409" s="57">
        <f>IF(OR(E409="V",G409="V"),"V",IF(AND(E409="None",G409="None"),"None",(IF(E409="None",0,E409)+IF(G409="None",0,G409)+IF(H409="Yes",CharacterSheet!$V$34,0))))</f>
        <v>1</v>
      </c>
      <c r="J409" s="57" t="s">
        <v>360</v>
      </c>
      <c r="K409" s="66">
        <f>IF(J409="no",0,IF(OR(F409="None",F409="Cheval",F409="Legend",F409="Mystery",F409="Prophecy",F409="TsukumoGami"),0,IF(F409="Varies","V",IF(AND(G409=0,CharacterSheet!$R$36="No"),0,IF(AND(G409=0,CharacterSheet!$R$36="Yes"),LOOKUP(D409,Reference!$N$2:$N$10,Reference!$O$2:$O$10),IF(G409&gt;0,LOOKUP(D409,Reference!$N$2:$N$10,Reference!$P$2:$P$10),"ERROR"))))))</f>
        <v>0</v>
      </c>
      <c r="L409" s="66" t="s">
        <v>361</v>
      </c>
      <c r="M409" s="66">
        <f>IF(E409="V","V",IF(J409="Yes",K409,0)+IF(L409="Yes",CharacterSheet!D353,0))</f>
        <v>0</v>
      </c>
      <c r="N409" s="66" t="s">
        <v>1630</v>
      </c>
      <c r="O409" s="66" t="s">
        <v>1605</v>
      </c>
      <c r="P409" s="66" t="s">
        <v>1067</v>
      </c>
      <c r="Q409" s="188">
        <v>77</v>
      </c>
    </row>
    <row r="410" spans="1:17" x14ac:dyDescent="0.25">
      <c r="A410" s="86" t="s">
        <v>1108</v>
      </c>
      <c r="B410" s="39" t="s">
        <v>373</v>
      </c>
      <c r="C410" s="39">
        <v>1</v>
      </c>
      <c r="D410" s="66" t="s">
        <v>19</v>
      </c>
      <c r="E410" s="66">
        <f>LOOKUP(D410,Reference!$B$33:$B$46,Reference!$C$33:$C$46)</f>
        <v>1</v>
      </c>
      <c r="F410" s="66" t="s">
        <v>41</v>
      </c>
      <c r="G410" s="66">
        <f>LOOKUP(F410,Reference!$D$32:$D$55,Reference!$E$32:$E$55)</f>
        <v>0</v>
      </c>
      <c r="H410" s="66" t="s">
        <v>361</v>
      </c>
      <c r="I410" s="57">
        <f>IF(OR(E410="V",G410="V"),"V",IF(AND(E410="None",G410="None"),"None",(IF(E410="None",0,E410)+IF(G410="None",0,G410)+IF(H410="Yes",CharacterSheet!$V$34,0))))</f>
        <v>1</v>
      </c>
      <c r="J410" s="57" t="s">
        <v>360</v>
      </c>
      <c r="K410" s="66">
        <f>IF(J410="no",0,IF(OR(F410="None",F410="Cheval",F410="Legend",F410="Mystery",F410="Prophecy",F410="TsukumoGami"),0,IF(F410="Varies","V",IF(AND(G410=0,CharacterSheet!$R$36="No"),0,IF(AND(G410=0,CharacterSheet!$R$36="Yes"),LOOKUP(D410,Reference!$N$2:$N$10,Reference!$O$2:$O$10),IF(G410&gt;0,LOOKUP(D410,Reference!$N$2:$N$10,Reference!$P$2:$P$10),"ERROR"))))))</f>
        <v>0</v>
      </c>
      <c r="L410" s="66" t="s">
        <v>361</v>
      </c>
      <c r="M410" s="66">
        <f>IF(E410="V","V",IF(J410="Yes",K410,0)+IF(L410="Yes",CharacterSheet!D397,0))</f>
        <v>0</v>
      </c>
      <c r="N410" s="66" t="s">
        <v>1072</v>
      </c>
      <c r="O410" s="66" t="s">
        <v>1548</v>
      </c>
      <c r="P410" s="66" t="s">
        <v>141</v>
      </c>
      <c r="Q410" s="188">
        <v>143</v>
      </c>
    </row>
    <row r="411" spans="1:17" x14ac:dyDescent="0.25">
      <c r="A411" s="87" t="s">
        <v>1522</v>
      </c>
      <c r="B411" s="66" t="s">
        <v>115</v>
      </c>
      <c r="C411" s="66">
        <v>4</v>
      </c>
      <c r="D411" s="66" t="s">
        <v>14</v>
      </c>
      <c r="E411" s="66">
        <f>LOOKUP(D411,Reference!$B$33:$B$46,Reference!$C$33:$C$46)</f>
        <v>1</v>
      </c>
      <c r="F411" s="66" t="s">
        <v>47</v>
      </c>
      <c r="G411" s="66">
        <f>LOOKUP(F411,Reference!$D$32:$D$55,Reference!$E$32:$E$55)</f>
        <v>0</v>
      </c>
      <c r="H411" s="66" t="s">
        <v>361</v>
      </c>
      <c r="I411" s="57">
        <f>IF(OR(E411="V",G411="V"),"V",IF(AND(E411="None",G411="None"),"None",(IF(E411="None",0,E411)+IF(G411="None",0,G411)+IF(H411="Yes",CharacterSheet!$V$34,0))))</f>
        <v>1</v>
      </c>
      <c r="J411" s="57" t="s">
        <v>360</v>
      </c>
      <c r="K411" s="66">
        <f>IF(J411="no",0,IF(OR(F411="None",F411="Cheval",F411="Legend",F411="Mystery",F411="Prophecy",F411="TsukumoGami"),0,IF(F411="Varies","V",IF(AND(G411=0,CharacterSheet!$R$36="No"),0,IF(AND(G411=0,CharacterSheet!$R$36="Yes"),LOOKUP(D411,Reference!$N$2:$N$10,Reference!$O$2:$O$10),IF(G411&gt;0,LOOKUP(D411,Reference!$N$2:$N$10,Reference!$P$2:$P$10),"ERROR"))))))</f>
        <v>0</v>
      </c>
      <c r="L411" s="66" t="s">
        <v>361</v>
      </c>
      <c r="M411" s="66">
        <f>IF(E411="V","V",IF(J411="Yes",K411,0)+IF(L411="Yes",CharacterSheet!D285,0))</f>
        <v>0</v>
      </c>
      <c r="N411" s="66" t="s">
        <v>1077</v>
      </c>
      <c r="O411" s="66" t="s">
        <v>1554</v>
      </c>
      <c r="P411" s="66" t="s">
        <v>1507</v>
      </c>
      <c r="Q411" s="188">
        <v>34</v>
      </c>
    </row>
    <row r="412" spans="1:17" x14ac:dyDescent="0.25">
      <c r="A412" s="86" t="s">
        <v>1235</v>
      </c>
      <c r="B412" s="39" t="s">
        <v>185</v>
      </c>
      <c r="C412" s="39">
        <v>5</v>
      </c>
      <c r="D412" s="66" t="s">
        <v>17</v>
      </c>
      <c r="E412" s="66">
        <f>LOOKUP(D412,Reference!$B$33:$B$46,Reference!$C$33:$C$46)</f>
        <v>1</v>
      </c>
      <c r="F412" s="66" t="s">
        <v>185</v>
      </c>
      <c r="G412" s="66">
        <f>LOOKUP(F412,Reference!$D$32:$D$55,Reference!$E$32:$E$55)</f>
        <v>0</v>
      </c>
      <c r="H412" s="66" t="s">
        <v>361</v>
      </c>
      <c r="I412" s="57">
        <f>IF(OR(E412="V",G412="V"),"V",IF(AND(E412="None",G412="None"),"None",(IF(E412="None",0,E412)+IF(G412="None",0,G412)+IF(H412="Yes",CharacterSheet!$V$34,0))))</f>
        <v>1</v>
      </c>
      <c r="J412" s="57" t="s">
        <v>360</v>
      </c>
      <c r="K412" s="66">
        <f>IF(J412="no",0,IF(OR(F412="None",F412="Cheval",F412="Legend",F412="Mystery",F412="Prophecy",F412="TsukumoGami"),0,IF(F412="Varies","V",IF(AND(G412=0,CharacterSheet!$R$36="No"),0,IF(AND(G412=0,CharacterSheet!$R$36="Yes"),LOOKUP(D412,Reference!$N$2:$N$10,Reference!$O$2:$O$10),IF(G412&gt;0,LOOKUP(D412,Reference!$N$2:$N$10,Reference!$P$2:$P$10),"ERROR"))))))</f>
        <v>0</v>
      </c>
      <c r="L412" s="66" t="s">
        <v>361</v>
      </c>
      <c r="M412" s="66">
        <f>IF(E412="V","V",IF(J412="Yes",K412,0)+IF(L412="Yes",CharacterSheet!D362,0))</f>
        <v>0</v>
      </c>
      <c r="N412" s="66" t="s">
        <v>1624</v>
      </c>
      <c r="O412" s="66" t="s">
        <v>1618</v>
      </c>
      <c r="P412" s="66" t="s">
        <v>1067</v>
      </c>
      <c r="Q412" s="188">
        <v>91</v>
      </c>
    </row>
    <row r="413" spans="1:17" x14ac:dyDescent="0.25">
      <c r="A413" s="86" t="s">
        <v>1110</v>
      </c>
      <c r="B413" s="39" t="s">
        <v>373</v>
      </c>
      <c r="C413" s="39">
        <v>3</v>
      </c>
      <c r="D413" s="66" t="s">
        <v>14</v>
      </c>
      <c r="E413" s="66">
        <f>LOOKUP(D413,Reference!$B$33:$B$46,Reference!$C$33:$C$46)</f>
        <v>1</v>
      </c>
      <c r="F413" s="66" t="s">
        <v>42</v>
      </c>
      <c r="G413" s="66">
        <f>LOOKUP(F413,Reference!$D$32:$D$55,Reference!$E$32:$E$55)</f>
        <v>0</v>
      </c>
      <c r="H413" s="66" t="s">
        <v>361</v>
      </c>
      <c r="I413" s="57">
        <f>IF(OR(E413="V",G413="V"),"V",IF(AND(E413="None",G413="None"),"None",(IF(E413="None",0,E413)+IF(G413="None",0,G413)+IF(H413="Yes",CharacterSheet!$V$34,0))))</f>
        <v>1</v>
      </c>
      <c r="J413" s="57" t="s">
        <v>360</v>
      </c>
      <c r="K413" s="66">
        <f>IF(J413="no",0,IF(OR(F413="None",F413="Cheval",F413="Legend",F413="Mystery",F413="Prophecy",F413="TsukumoGami"),0,IF(F413="Varies","V",IF(AND(G413=0,CharacterSheet!$R$36="No"),0,IF(AND(G413=0,CharacterSheet!$R$36="Yes"),LOOKUP(D413,Reference!$N$2:$N$10,Reference!$O$2:$O$10),IF(G413&gt;0,LOOKUP(D413,Reference!$N$2:$N$10,Reference!$P$2:$P$10),"ERROR"))))))</f>
        <v>0</v>
      </c>
      <c r="L413" s="66" t="s">
        <v>361</v>
      </c>
      <c r="M413" s="66">
        <f>IF(E413="V","V",IF(J413="Yes",K413,0)+IF(L413="Yes",CharacterSheet!D181,0))</f>
        <v>0</v>
      </c>
      <c r="N413" s="66" t="s">
        <v>1626</v>
      </c>
      <c r="O413" s="66" t="s">
        <v>1553</v>
      </c>
      <c r="P413" s="66" t="s">
        <v>141</v>
      </c>
      <c r="Q413" s="188">
        <v>144</v>
      </c>
    </row>
    <row r="414" spans="1:17" x14ac:dyDescent="0.25">
      <c r="A414" s="86" t="s">
        <v>1416</v>
      </c>
      <c r="B414" s="39" t="s">
        <v>373</v>
      </c>
      <c r="C414" s="39">
        <v>1</v>
      </c>
      <c r="D414" s="66" t="s">
        <v>19</v>
      </c>
      <c r="E414" s="66">
        <f>LOOKUP(D414,Reference!$B$33:$B$46,Reference!$C$33:$C$46)</f>
        <v>1</v>
      </c>
      <c r="F414" s="66" t="s">
        <v>38</v>
      </c>
      <c r="G414" s="66">
        <f>LOOKUP(F414,Reference!$D$32:$D$55,Reference!$E$32:$E$55)</f>
        <v>0</v>
      </c>
      <c r="H414" s="66" t="s">
        <v>361</v>
      </c>
      <c r="I414" s="57">
        <f>IF(OR(E414="V",G414="V"),"V",IF(AND(E414="None",G414="None"),"None",(IF(E414="None",0,E414)+IF(G414="None",0,G414)+IF(H414="Yes",CharacterSheet!$V$34,0))))</f>
        <v>1</v>
      </c>
      <c r="J414" s="57" t="s">
        <v>360</v>
      </c>
      <c r="K414" s="66">
        <f>IF(J414="no",0,IF(OR(F414="None",F414="Cheval",F414="Legend",F414="Mystery",F414="Prophecy",F414="TsukumoGami"),0,IF(F414="Varies","V",IF(AND(G414=0,CharacterSheet!$R$36="No"),0,IF(AND(G414=0,CharacterSheet!$R$36="Yes"),LOOKUP(D414,Reference!$N$2:$N$10,Reference!$O$2:$O$10),IF(G414&gt;0,LOOKUP(D414,Reference!$N$2:$N$10,Reference!$P$2:$P$10),"ERROR"))))))</f>
        <v>0</v>
      </c>
      <c r="L414" s="66" t="s">
        <v>361</v>
      </c>
      <c r="M414" s="66">
        <f>IF(E414="V","V",IF(J414="Yes",K414,0)+IF(L414="Yes",CharacterSheet!D114,0))</f>
        <v>0</v>
      </c>
      <c r="N414" s="66" t="s">
        <v>1072</v>
      </c>
      <c r="O414" s="66" t="s">
        <v>1550</v>
      </c>
      <c r="P414" s="66" t="s">
        <v>1068</v>
      </c>
      <c r="Q414" s="188">
        <v>74</v>
      </c>
    </row>
    <row r="415" spans="1:17" x14ac:dyDescent="0.25">
      <c r="A415" s="86" t="s">
        <v>1131</v>
      </c>
      <c r="B415" s="39" t="s">
        <v>380</v>
      </c>
      <c r="C415" s="39">
        <v>3</v>
      </c>
      <c r="D415" s="66" t="s">
        <v>16</v>
      </c>
      <c r="E415" s="66">
        <f>LOOKUP(D415,Reference!$B$33:$B$46,Reference!$C$33:$C$46)</f>
        <v>1</v>
      </c>
      <c r="F415" s="66" t="s">
        <v>51</v>
      </c>
      <c r="G415" s="66">
        <f>LOOKUP(F415,Reference!$D$32:$D$55,Reference!$E$32:$E$55)</f>
        <v>0</v>
      </c>
      <c r="H415" s="66" t="s">
        <v>361</v>
      </c>
      <c r="I415" s="57">
        <f>IF(OR(E415="V",G415="V"),"V",IF(AND(E415="None",G415="None"),"None",(IF(E415="None",0,E415)+IF(G415="None",0,G415)+IF(H415="Yes",CharacterSheet!$V$34,0))))</f>
        <v>1</v>
      </c>
      <c r="J415" s="57" t="s">
        <v>360</v>
      </c>
      <c r="K415" s="66">
        <f>IF(J415="no",0,IF(OR(F415="None",F415="Cheval",F415="Legend",F415="Mystery",F415="Prophecy",F415="TsukumoGami"),0,IF(F415="Varies","V",IF(AND(G415=0,CharacterSheet!$R$36="No"),0,IF(AND(G415=0,CharacterSheet!$R$36="Yes"),LOOKUP(D415,Reference!$N$2:$N$10,Reference!$O$2:$O$10),IF(G415&gt;0,LOOKUP(D415,Reference!$N$2:$N$10,Reference!$P$2:$P$10),"ERROR"))))))</f>
        <v>0</v>
      </c>
      <c r="L415" s="66" t="s">
        <v>361</v>
      </c>
      <c r="M415" s="66">
        <f>IF(E415="V","V",IF(J415="Yes",K415,0)+IF(L415="Yes",CharacterSheet!D249,0))</f>
        <v>0</v>
      </c>
      <c r="N415" s="66" t="s">
        <v>1072</v>
      </c>
      <c r="O415" s="66" t="s">
        <v>1559</v>
      </c>
      <c r="P415" s="66" t="s">
        <v>141</v>
      </c>
      <c r="Q415" s="188">
        <v>148</v>
      </c>
    </row>
    <row r="416" spans="1:17" x14ac:dyDescent="0.25">
      <c r="A416" s="86" t="s">
        <v>1417</v>
      </c>
      <c r="B416" s="39" t="s">
        <v>373</v>
      </c>
      <c r="C416" s="39">
        <v>6</v>
      </c>
      <c r="D416" s="66" t="s">
        <v>508</v>
      </c>
      <c r="E416" s="66" t="str">
        <f>LOOKUP(D416,Reference!$B$33:$B$46,Reference!$C$33:$C$46)</f>
        <v>None</v>
      </c>
      <c r="F416" s="66" t="s">
        <v>508</v>
      </c>
      <c r="G416" s="66" t="str">
        <f>LOOKUP(F416,Reference!$D$32:$D$55,Reference!$E$32:$E$55)</f>
        <v>None</v>
      </c>
      <c r="H416" s="66" t="s">
        <v>361</v>
      </c>
      <c r="I416" s="57" t="str">
        <f>IF(OR(E416="V",G416="V"),"V",IF(AND(E416="None",G416="None"),"None",(IF(E416="None",0,E416)+IF(G416="None",0,G416)+IF(H416="Yes",CharacterSheet!$V$34,0))))</f>
        <v>None</v>
      </c>
      <c r="J416" s="57" t="s">
        <v>361</v>
      </c>
      <c r="K416" s="66">
        <f>IF(J416="no",0,IF(OR(F416="None",F416="Cheval",F416="Legend",F416="Mystery",F416="Prophecy",F416="TsukumoGami"),0,IF(F416="Varies","V",IF(AND(G416=0,CharacterSheet!$R$36="No"),0,IF(AND(G416=0,CharacterSheet!$R$36="Yes"),LOOKUP(D416,Reference!$N$2:$N$10,Reference!$O$2:$O$10),IF(G416&gt;0,LOOKUP(D416,Reference!$N$2:$N$10,Reference!$P$2:$P$10),"ERROR"))))))</f>
        <v>0</v>
      </c>
      <c r="L416" s="66" t="s">
        <v>361</v>
      </c>
      <c r="M416" s="66">
        <f>IF(E416="V","V",IF(J416="Yes",K416,0)+IF(L416="Yes",CharacterSheet!D101,0))</f>
        <v>0</v>
      </c>
      <c r="N416" s="66" t="s">
        <v>1074</v>
      </c>
      <c r="O416" s="66" t="s">
        <v>508</v>
      </c>
      <c r="P416" s="66" t="s">
        <v>1068</v>
      </c>
      <c r="Q416" s="188">
        <v>74</v>
      </c>
    </row>
    <row r="417" spans="1:17" x14ac:dyDescent="0.25">
      <c r="A417" s="86" t="s">
        <v>1132</v>
      </c>
      <c r="B417" s="39" t="s">
        <v>381</v>
      </c>
      <c r="C417" s="39">
        <v>1</v>
      </c>
      <c r="D417" s="66" t="s">
        <v>508</v>
      </c>
      <c r="E417" s="66" t="str">
        <f>LOOKUP(D417,Reference!$B$33:$B$46,Reference!$C$33:$C$46)</f>
        <v>None</v>
      </c>
      <c r="F417" s="66" t="s">
        <v>508</v>
      </c>
      <c r="G417" s="66" t="str">
        <f>LOOKUP(F417,Reference!$D$32:$D$55,Reference!$E$32:$E$55)</f>
        <v>None</v>
      </c>
      <c r="H417" s="66" t="s">
        <v>361</v>
      </c>
      <c r="I417" s="57" t="str">
        <f>IF(OR(E417="V",G417="V"),"V",IF(AND(E417="None",G417="None"),"None",(IF(E417="None",0,E417)+IF(G417="None",0,G417)+IF(H417="Yes",CharacterSheet!$V$34,0))))</f>
        <v>None</v>
      </c>
      <c r="J417" s="57" t="s">
        <v>361</v>
      </c>
      <c r="K417" s="66">
        <f>IF(J417="no",0,IF(OR(F417="None",F417="Cheval",F417="Legend",F417="Mystery",F417="Prophecy",F417="TsukumoGami"),0,IF(F417="Varies","V",IF(AND(G417=0,CharacterSheet!$R$36="No"),0,IF(AND(G417=0,CharacterSheet!$R$36="Yes"),LOOKUP(D417,Reference!$N$2:$N$10,Reference!$O$2:$O$10),IF(G417&gt;0,LOOKUP(D417,Reference!$N$2:$N$10,Reference!$P$2:$P$10),"ERROR"))))))</f>
        <v>0</v>
      </c>
      <c r="L417" s="66" t="s">
        <v>361</v>
      </c>
      <c r="M417" s="66">
        <f>IF(E417="V","V",IF(J417="Yes",K417,0)+IF(L417="Yes",CharacterSheet!D403,0))</f>
        <v>0</v>
      </c>
      <c r="N417" s="66" t="s">
        <v>1799</v>
      </c>
      <c r="O417" s="66" t="s">
        <v>1799</v>
      </c>
      <c r="P417" s="66" t="s">
        <v>141</v>
      </c>
      <c r="Q417" s="188">
        <v>148</v>
      </c>
    </row>
    <row r="418" spans="1:17" x14ac:dyDescent="0.25">
      <c r="A418" s="86" t="s">
        <v>1133</v>
      </c>
      <c r="B418" s="39" t="s">
        <v>381</v>
      </c>
      <c r="C418" s="39">
        <v>2</v>
      </c>
      <c r="D418" s="66" t="s">
        <v>13</v>
      </c>
      <c r="E418" s="66">
        <f>LOOKUP(D418,Reference!$B$33:$B$46,Reference!$C$33:$C$46)</f>
        <v>1</v>
      </c>
      <c r="F418" s="66" t="s">
        <v>57</v>
      </c>
      <c r="G418" s="66">
        <f>LOOKUP(F418,Reference!$D$32:$D$55,Reference!$E$32:$E$55)</f>
        <v>0</v>
      </c>
      <c r="H418" s="66" t="s">
        <v>361</v>
      </c>
      <c r="I418" s="57">
        <f>IF(OR(E418="V",G418="V"),"V",IF(AND(E418="None",G418="None"),"None",(IF(E418="None",0,E418)+IF(G418="None",0,G418)+IF(H418="Yes",CharacterSheet!$V$34,0))))</f>
        <v>1</v>
      </c>
      <c r="J418" s="57" t="s">
        <v>360</v>
      </c>
      <c r="K418" s="66">
        <f>IF(J418="no",0,IF(OR(F418="None",F418="Cheval",F418="Legend",F418="Mystery",F418="Prophecy",F418="TsukumoGami"),0,IF(F418="Varies","V",IF(AND(G418=0,CharacterSheet!$R$36="No"),0,IF(AND(G418=0,CharacterSheet!$R$36="Yes"),LOOKUP(D418,Reference!$N$2:$N$10,Reference!$O$2:$O$10),IF(G418&gt;0,LOOKUP(D418,Reference!$N$2:$N$10,Reference!$P$2:$P$10),"ERROR"))))))</f>
        <v>0</v>
      </c>
      <c r="L418" s="66" t="s">
        <v>361</v>
      </c>
      <c r="M418" s="66">
        <f>IF(E418="V","V",IF(J418="Yes",K418,0)+IF(L418="Yes",CharacterSheet!D109,0))</f>
        <v>0</v>
      </c>
      <c r="N418" s="66" t="s">
        <v>1072</v>
      </c>
      <c r="O418" s="66" t="s">
        <v>1551</v>
      </c>
      <c r="P418" s="66" t="s">
        <v>141</v>
      </c>
      <c r="Q418" s="188">
        <v>148</v>
      </c>
    </row>
    <row r="419" spans="1:17" x14ac:dyDescent="0.25">
      <c r="A419" s="86" t="s">
        <v>1228</v>
      </c>
      <c r="B419" s="39" t="s">
        <v>381</v>
      </c>
      <c r="C419" s="39">
        <v>6</v>
      </c>
      <c r="D419" s="66" t="s">
        <v>13</v>
      </c>
      <c r="E419" s="66">
        <f>LOOKUP(D419,Reference!$B$33:$B$46,Reference!$C$33:$C$46)</f>
        <v>1</v>
      </c>
      <c r="F419" s="66" t="s">
        <v>57</v>
      </c>
      <c r="G419" s="66">
        <f>LOOKUP(F419,Reference!$D$32:$D$55,Reference!$E$32:$E$55)</f>
        <v>0</v>
      </c>
      <c r="H419" s="66" t="s">
        <v>361</v>
      </c>
      <c r="I419" s="57">
        <f>IF(OR(E419="V",G419="V"),"V",IF(AND(E419="None",G419="None"),"None",(IF(E419="None",0,E419)+IF(G419="None",0,G419)+IF(H419="Yes",CharacterSheet!$V$34,0))))</f>
        <v>1</v>
      </c>
      <c r="J419" s="57" t="s">
        <v>360</v>
      </c>
      <c r="K419" s="66">
        <f>IF(J419="no",0,IF(OR(F419="None",F419="Cheval",F419="Legend",F419="Mystery",F419="Prophecy",F419="TsukumoGami"),0,IF(F419="Varies","V",IF(AND(G419=0,CharacterSheet!$R$36="No"),0,IF(AND(G419=0,CharacterSheet!$R$36="Yes"),LOOKUP(D419,Reference!$N$2:$N$10,Reference!$O$2:$O$10),IF(G419&gt;0,LOOKUP(D419,Reference!$N$2:$N$10,Reference!$P$2:$P$10),"ERROR"))))))</f>
        <v>0</v>
      </c>
      <c r="L419" s="66" t="s">
        <v>361</v>
      </c>
      <c r="M419" s="66">
        <f>IF(E419="V","V",IF(J419="Yes",K419,0)+IF(L419="Yes",CharacterSheet!D323,0))</f>
        <v>0</v>
      </c>
      <c r="N419" s="66" t="s">
        <v>1593</v>
      </c>
      <c r="O419" s="66" t="s">
        <v>1551</v>
      </c>
      <c r="P419" s="66" t="s">
        <v>1067</v>
      </c>
      <c r="Q419" s="188">
        <v>90</v>
      </c>
    </row>
    <row r="420" spans="1:17" x14ac:dyDescent="0.25">
      <c r="A420" s="86" t="s">
        <v>1229</v>
      </c>
      <c r="B420" s="39" t="s">
        <v>381</v>
      </c>
      <c r="C420" s="39">
        <v>7</v>
      </c>
      <c r="D420" s="66" t="s">
        <v>21</v>
      </c>
      <c r="E420" s="66">
        <f>LOOKUP(D420,Reference!$B$33:$B$46,Reference!$C$33:$C$46)</f>
        <v>1</v>
      </c>
      <c r="F420" s="66" t="s">
        <v>56</v>
      </c>
      <c r="G420" s="66">
        <f>LOOKUP(F420,Reference!$D$32:$D$55,Reference!$E$32:$E$55)</f>
        <v>0</v>
      </c>
      <c r="H420" s="66" t="s">
        <v>361</v>
      </c>
      <c r="I420" s="57">
        <f>IF(OR(E420="V",G420="V"),"V",IF(AND(E420="None",G420="None"),"None",(IF(E420="None",0,E420)+IF(G420="None",0,G420)+IF(H420="Yes",CharacterSheet!$V$34,0))))</f>
        <v>1</v>
      </c>
      <c r="J420" s="57" t="s">
        <v>360</v>
      </c>
      <c r="K420" s="66">
        <f>IF(J420="no",0,IF(OR(F420="None",F420="Cheval",F420="Legend",F420="Mystery",F420="Prophecy",F420="TsukumoGami"),0,IF(F420="Varies","V",IF(AND(G420=0,CharacterSheet!$R$36="No"),0,IF(AND(G420=0,CharacterSheet!$R$36="Yes"),LOOKUP(D420,Reference!$N$2:$N$10,Reference!$O$2:$O$10),IF(G420&gt;0,LOOKUP(D420,Reference!$N$2:$N$10,Reference!$P$2:$P$10),"ERROR"))))))</f>
        <v>0</v>
      </c>
      <c r="L420" s="66" t="s">
        <v>361</v>
      </c>
      <c r="M420" s="66">
        <f>IF(E420="V","V",IF(J420="Yes",K420,0)+IF(L420="Yes",CharacterSheet!D429,0))</f>
        <v>0</v>
      </c>
      <c r="N420" s="66" t="s">
        <v>1588</v>
      </c>
      <c r="O420" s="66" t="s">
        <v>1614</v>
      </c>
      <c r="P420" s="66" t="s">
        <v>1067</v>
      </c>
      <c r="Q420" s="188">
        <v>90</v>
      </c>
    </row>
    <row r="421" spans="1:17" x14ac:dyDescent="0.25">
      <c r="A421" s="86" t="s">
        <v>1315</v>
      </c>
      <c r="B421" s="39" t="s">
        <v>377</v>
      </c>
      <c r="C421" s="39">
        <v>10</v>
      </c>
      <c r="D421" s="66" t="s">
        <v>30</v>
      </c>
      <c r="E421" s="66">
        <f>LOOKUP(D421,Reference!$B$33:$B$46,Reference!$C$33:$C$46)</f>
        <v>1</v>
      </c>
      <c r="F421" s="66" t="s">
        <v>53</v>
      </c>
      <c r="G421" s="66">
        <f>LOOKUP(F421,Reference!$D$32:$D$55,Reference!$E$32:$E$55)</f>
        <v>0</v>
      </c>
      <c r="H421" s="66" t="s">
        <v>361</v>
      </c>
      <c r="I421" s="57">
        <f>IF(OR(E421="V",G421="V"),"V",IF(AND(E421="None",G421="None"),"None",(IF(E421="None",0,E421)+IF(G421="None",0,G421)+IF(H421="Yes",CharacterSheet!$V$34,0))))</f>
        <v>1</v>
      </c>
      <c r="J421" s="57" t="s">
        <v>360</v>
      </c>
      <c r="K421" s="66">
        <f>IF(J421="no",0,IF(OR(F421="None",F421="Cheval",F421="Legend",F421="Mystery",F421="Prophecy",F421="TsukumoGami"),0,IF(F421="Varies","V",IF(AND(G421=0,CharacterSheet!$R$36="No"),0,IF(AND(G421=0,CharacterSheet!$R$36="Yes"),LOOKUP(D421,Reference!$N$2:$N$10,Reference!$O$2:$O$10),IF(G421&gt;0,LOOKUP(D421,Reference!$N$2:$N$10,Reference!$P$2:$P$10),"ERROR"))))))</f>
        <v>0</v>
      </c>
      <c r="L421" s="66" t="s">
        <v>361</v>
      </c>
      <c r="M421" s="66">
        <f>IF(E421="V","V",IF(J421="Yes",K421,0)+IF(L421="Yes",CharacterSheet!D218,0))</f>
        <v>0</v>
      </c>
      <c r="N421" s="66" t="s">
        <v>1086</v>
      </c>
      <c r="O421" s="66" t="s">
        <v>1685</v>
      </c>
      <c r="P421" s="66" t="s">
        <v>5</v>
      </c>
      <c r="Q421" s="188">
        <v>99</v>
      </c>
    </row>
    <row r="422" spans="1:17" x14ac:dyDescent="0.25">
      <c r="A422" s="86" t="s">
        <v>1426</v>
      </c>
      <c r="B422" s="39" t="s">
        <v>377</v>
      </c>
      <c r="C422" s="39">
        <v>1</v>
      </c>
      <c r="D422" s="66" t="s">
        <v>20</v>
      </c>
      <c r="E422" s="66">
        <f>LOOKUP(D422,Reference!$B$33:$B$46,Reference!$C$33:$C$46)</f>
        <v>1</v>
      </c>
      <c r="F422" s="66" t="s">
        <v>58</v>
      </c>
      <c r="G422" s="66">
        <f>LOOKUP(F422,Reference!$D$32:$D$55,Reference!$E$32:$E$55)</f>
        <v>0</v>
      </c>
      <c r="H422" s="66" t="s">
        <v>361</v>
      </c>
      <c r="I422" s="57">
        <f>IF(OR(E422="V",G422="V"),"V",IF(AND(E422="None",G422="None"),"None",(IF(E422="None",0,E422)+IF(G422="None",0,G422)+IF(H422="Yes",CharacterSheet!$V$34,0))))</f>
        <v>1</v>
      </c>
      <c r="J422" s="57" t="s">
        <v>360</v>
      </c>
      <c r="K422" s="66">
        <f>IF(J422="no",0,IF(OR(F422="None",F422="Cheval",F422="Legend",F422="Mystery",F422="Prophecy",F422="TsukumoGami"),0,IF(F422="Varies","V",IF(AND(G422=0,CharacterSheet!$R$36="No"),0,IF(AND(G422=0,CharacterSheet!$R$36="Yes"),LOOKUP(D422,Reference!$N$2:$N$10,Reference!$O$2:$O$10),IF(G422&gt;0,LOOKUP(D422,Reference!$N$2:$N$10,Reference!$P$2:$P$10),"ERROR"))))))</f>
        <v>0</v>
      </c>
      <c r="L422" s="66" t="s">
        <v>361</v>
      </c>
      <c r="M422" s="66">
        <f>IF(E422="V","V",IF(J422="Yes",K422,0)+IF(L422="Yes",CharacterSheet!D201,0))</f>
        <v>0</v>
      </c>
      <c r="N422" s="66" t="s">
        <v>1072</v>
      </c>
      <c r="O422" s="66" t="s">
        <v>1681</v>
      </c>
      <c r="P422" s="66" t="s">
        <v>1068</v>
      </c>
      <c r="Q422" s="188">
        <v>77</v>
      </c>
    </row>
    <row r="423" spans="1:17" x14ac:dyDescent="0.25">
      <c r="A423" s="86" t="s">
        <v>1121</v>
      </c>
      <c r="B423" s="39" t="s">
        <v>376</v>
      </c>
      <c r="C423" s="39">
        <v>2</v>
      </c>
      <c r="D423" s="66" t="s">
        <v>20</v>
      </c>
      <c r="E423" s="66">
        <f>LOOKUP(D423,Reference!$B$33:$B$46,Reference!$C$33:$C$46)</f>
        <v>1</v>
      </c>
      <c r="F423" s="66" t="s">
        <v>38</v>
      </c>
      <c r="G423" s="66">
        <f>LOOKUP(F423,Reference!$D$32:$D$55,Reference!$E$32:$E$55)</f>
        <v>0</v>
      </c>
      <c r="H423" s="66" t="s">
        <v>361</v>
      </c>
      <c r="I423" s="57">
        <f>IF(OR(E423="V",G423="V"),"V",IF(AND(E423="None",G423="None"),"None",(IF(E423="None",0,E423)+IF(G423="None",0,G423)+IF(H423="Yes",CharacterSheet!$V$34,0))))</f>
        <v>1</v>
      </c>
      <c r="J423" s="57" t="s">
        <v>360</v>
      </c>
      <c r="K423" s="66">
        <f>IF(J423="no",0,IF(OR(F423="None",F423="Cheval",F423="Legend",F423="Mystery",F423="Prophecy",F423="TsukumoGami"),0,IF(F423="Varies","V",IF(AND(G423=0,CharacterSheet!$R$36="No"),0,IF(AND(G423=0,CharacterSheet!$R$36="Yes"),LOOKUP(D423,Reference!$N$2:$N$10,Reference!$O$2:$O$10),IF(G423&gt;0,LOOKUP(D423,Reference!$N$2:$N$10,Reference!$P$2:$P$10),"ERROR"))))))</f>
        <v>0</v>
      </c>
      <c r="L423" s="66" t="s">
        <v>361</v>
      </c>
      <c r="M423" s="66">
        <f>IF(E423="V","V",IF(J423="Yes",K423,0)+IF(L423="Yes",CharacterSheet!D203,0))</f>
        <v>0</v>
      </c>
      <c r="N423" s="66" t="s">
        <v>508</v>
      </c>
      <c r="O423" s="66" t="s">
        <v>1544</v>
      </c>
      <c r="P423" s="66" t="s">
        <v>141</v>
      </c>
      <c r="Q423" s="188">
        <v>146</v>
      </c>
    </row>
    <row r="424" spans="1:17" x14ac:dyDescent="0.25">
      <c r="A424" s="86" t="s">
        <v>1214</v>
      </c>
      <c r="B424" s="39" t="s">
        <v>377</v>
      </c>
      <c r="C424" s="39">
        <v>4</v>
      </c>
      <c r="D424" s="66" t="s">
        <v>21</v>
      </c>
      <c r="E424" s="66">
        <f>LOOKUP(D424,Reference!$B$33:$B$46,Reference!$C$33:$C$46)</f>
        <v>1</v>
      </c>
      <c r="F424" s="66" t="s">
        <v>39</v>
      </c>
      <c r="G424" s="66">
        <f>LOOKUP(F424,Reference!$D$32:$D$55,Reference!$E$32:$E$55)</f>
        <v>0</v>
      </c>
      <c r="H424" s="66" t="s">
        <v>361</v>
      </c>
      <c r="I424" s="57">
        <f>IF(OR(E424="V",G424="V"),"V",IF(AND(E424="None",G424="None"),"None",(IF(E424="None",0,E424)+IF(G424="None",0,G424)+IF(H424="Yes",CharacterSheet!$V$34,0))))</f>
        <v>1</v>
      </c>
      <c r="J424" s="57" t="s">
        <v>360</v>
      </c>
      <c r="K424" s="66">
        <f>IF(J424="no",0,IF(OR(F424="None",F424="Cheval",F424="Legend",F424="Mystery",F424="Prophecy",F424="TsukumoGami"),0,IF(F424="Varies","V",IF(AND(G424=0,CharacterSheet!$R$36="No"),0,IF(AND(G424=0,CharacterSheet!$R$36="Yes"),LOOKUP(D424,Reference!$N$2:$N$10,Reference!$O$2:$O$10),IF(G424&gt;0,LOOKUP(D424,Reference!$N$2:$N$10,Reference!$P$2:$P$10),"ERROR"))))))</f>
        <v>0</v>
      </c>
      <c r="L424" s="66" t="s">
        <v>361</v>
      </c>
      <c r="M424" s="66">
        <f>IF(E424="V","V",IF(J424="Yes",K424,0)+IF(L424="Yes",CharacterSheet!D126,0))</f>
        <v>0</v>
      </c>
      <c r="N424" s="66" t="s">
        <v>1541</v>
      </c>
      <c r="O424" s="66" t="s">
        <v>1612</v>
      </c>
      <c r="P424" s="66" t="s">
        <v>1067</v>
      </c>
      <c r="Q424" s="188">
        <v>86</v>
      </c>
    </row>
    <row r="425" spans="1:17" x14ac:dyDescent="0.25">
      <c r="A425" s="86" t="s">
        <v>1124</v>
      </c>
      <c r="B425" s="39" t="s">
        <v>377</v>
      </c>
      <c r="C425" s="39">
        <v>2</v>
      </c>
      <c r="D425" s="66" t="s">
        <v>508</v>
      </c>
      <c r="E425" s="66" t="str">
        <f>LOOKUP(D425,Reference!$B$33:$B$46,Reference!$C$33:$C$46)</f>
        <v>None</v>
      </c>
      <c r="F425" s="66" t="s">
        <v>508</v>
      </c>
      <c r="G425" s="66" t="str">
        <f>LOOKUP(F425,Reference!$D$32:$D$55,Reference!$E$32:$E$55)</f>
        <v>None</v>
      </c>
      <c r="H425" s="66" t="s">
        <v>361</v>
      </c>
      <c r="I425" s="57" t="str">
        <f>IF(OR(E425="V",G425="V"),"V",IF(AND(E425="None",G425="None"),"None",(IF(E425="None",0,E425)+IF(G425="None",0,G425)+IF(H425="Yes",CharacterSheet!$V$34,0))))</f>
        <v>None</v>
      </c>
      <c r="J425" s="57" t="s">
        <v>361</v>
      </c>
      <c r="K425" s="66">
        <f>IF(J425="no",0,IF(OR(F425="None",F425="Cheval",F425="Legend",F425="Mystery",F425="Prophecy",F425="TsukumoGami"),0,IF(F425="Varies","V",IF(AND(G425=0,CharacterSheet!$R$36="No"),0,IF(AND(G425=0,CharacterSheet!$R$36="Yes"),LOOKUP(D425,Reference!$N$2:$N$10,Reference!$O$2:$O$10),IF(G425&gt;0,LOOKUP(D425,Reference!$N$2:$N$10,Reference!$P$2:$P$10),"ERROR"))))))</f>
        <v>0</v>
      </c>
      <c r="L425" s="66" t="s">
        <v>361</v>
      </c>
      <c r="M425" s="66">
        <f>IF(E425="V","V",IF(J425="Yes",K425,0)+IF(L425="Yes",CharacterSheet!D251,0))</f>
        <v>0</v>
      </c>
      <c r="N425" s="66" t="s">
        <v>1628</v>
      </c>
      <c r="O425" s="66" t="s">
        <v>508</v>
      </c>
      <c r="P425" s="66" t="s">
        <v>141</v>
      </c>
      <c r="Q425" s="188">
        <v>146</v>
      </c>
    </row>
    <row r="426" spans="1:17" x14ac:dyDescent="0.25">
      <c r="A426" s="87" t="s">
        <v>1512</v>
      </c>
      <c r="B426" s="66" t="s">
        <v>704</v>
      </c>
      <c r="C426" s="39">
        <v>5</v>
      </c>
      <c r="D426" s="66" t="s">
        <v>508</v>
      </c>
      <c r="E426" s="66" t="str">
        <f>LOOKUP(D426,Reference!$B$33:$B$46,Reference!$C$33:$C$46)</f>
        <v>None</v>
      </c>
      <c r="F426" s="66" t="s">
        <v>508</v>
      </c>
      <c r="G426" s="66" t="str">
        <f>LOOKUP(F426,Reference!$D$32:$D$55,Reference!$E$32:$E$55)</f>
        <v>None</v>
      </c>
      <c r="H426" s="66" t="s">
        <v>361</v>
      </c>
      <c r="I426" s="57" t="str">
        <f>IF(OR(E426="V",G426="V"),"V",IF(AND(E426="None",G426="None"),"None",(IF(E426="None",0,E426)+IF(G426="None",0,G426)+IF(H426="Yes",CharacterSheet!$V$34,0))))</f>
        <v>None</v>
      </c>
      <c r="J426" s="57" t="s">
        <v>361</v>
      </c>
      <c r="K426" s="66">
        <f>IF(J426="no",0,IF(OR(F426="None",F426="Cheval",F426="Legend",F426="Mystery",F426="Prophecy",F426="TsukumoGami"),0,IF(F426="Varies","V",IF(AND(G426=0,CharacterSheet!$R$36="No"),0,IF(AND(G426=0,CharacterSheet!$R$36="Yes"),LOOKUP(D426,Reference!$N$2:$N$10,Reference!$O$2:$O$10),IF(G426&gt;0,LOOKUP(D426,Reference!$N$2:$N$10,Reference!$P$2:$P$10),"ERROR"))))))</f>
        <v>0</v>
      </c>
      <c r="L426" s="66" t="s">
        <v>361</v>
      </c>
      <c r="M426" s="66">
        <f>IF(E426="V","V",IF(J426="Yes",K426,0)+IF(L426="Yes",CharacterSheet!D127,0))</f>
        <v>0</v>
      </c>
      <c r="N426" s="66" t="s">
        <v>1689</v>
      </c>
      <c r="O426" s="66" t="s">
        <v>508</v>
      </c>
      <c r="P426" s="66" t="s">
        <v>1507</v>
      </c>
      <c r="Q426" s="188">
        <v>37</v>
      </c>
    </row>
    <row r="427" spans="1:17" x14ac:dyDescent="0.25">
      <c r="A427" s="86" t="s">
        <v>1465</v>
      </c>
      <c r="B427" s="39" t="s">
        <v>194</v>
      </c>
      <c r="C427" s="39">
        <v>1</v>
      </c>
      <c r="D427" s="66" t="s">
        <v>14</v>
      </c>
      <c r="E427" s="66">
        <f>LOOKUP(D427,Reference!$B$33:$B$46,Reference!$C$33:$C$46)</f>
        <v>1</v>
      </c>
      <c r="F427" s="66" t="s">
        <v>53</v>
      </c>
      <c r="G427" s="66">
        <f>LOOKUP(F427,Reference!$D$32:$D$55,Reference!$E$32:$E$55)</f>
        <v>0</v>
      </c>
      <c r="H427" s="66" t="s">
        <v>361</v>
      </c>
      <c r="I427" s="57">
        <f>IF(OR(E427="V",G427="V"),"V",IF(AND(E427="None",G427="None"),"None",(IF(E427="None",0,E427)+IF(G427="None",0,G427)+IF(H427="Yes",CharacterSheet!$V$34,0))))</f>
        <v>1</v>
      </c>
      <c r="J427" s="57" t="s">
        <v>360</v>
      </c>
      <c r="K427" s="66">
        <f>IF(J427="no",0,IF(OR(F427="None",F427="Cheval",F427="Legend",F427="Mystery",F427="Prophecy",F427="TsukumoGami"),0,IF(F427="Varies","V",IF(AND(G427=0,CharacterSheet!$R$36="No"),0,IF(AND(G427=0,CharacterSheet!$R$36="Yes"),LOOKUP(D427,Reference!$N$2:$N$10,Reference!$O$2:$O$10),IF(G427&gt;0,LOOKUP(D427,Reference!$N$2:$N$10,Reference!$P$2:$P$10),"ERROR"))))))</f>
        <v>0</v>
      </c>
      <c r="L427" s="66" t="s">
        <v>361</v>
      </c>
      <c r="M427" s="66">
        <f>IF(E427="V","V",IF(J427="Yes",K427,0)+IF(L427="Yes",CharacterSheet!D440,0))</f>
        <v>0</v>
      </c>
      <c r="N427" s="66" t="s">
        <v>1626</v>
      </c>
      <c r="O427" s="66" t="s">
        <v>1727</v>
      </c>
      <c r="P427" s="66" t="s">
        <v>1068</v>
      </c>
      <c r="Q427" s="188">
        <v>228</v>
      </c>
    </row>
    <row r="428" spans="1:17" x14ac:dyDescent="0.25">
      <c r="A428" s="86" t="s">
        <v>1466</v>
      </c>
      <c r="B428" s="39" t="s">
        <v>194</v>
      </c>
      <c r="C428" s="39">
        <v>2</v>
      </c>
      <c r="D428" s="66" t="s">
        <v>508</v>
      </c>
      <c r="E428" s="66" t="str">
        <f>LOOKUP(D428,Reference!$B$33:$B$46,Reference!$C$33:$C$46)</f>
        <v>None</v>
      </c>
      <c r="F428" s="66" t="s">
        <v>508</v>
      </c>
      <c r="G428" s="66" t="str">
        <f>LOOKUP(F428,Reference!$D$32:$D$55,Reference!$E$32:$E$55)</f>
        <v>None</v>
      </c>
      <c r="H428" s="66" t="s">
        <v>361</v>
      </c>
      <c r="I428" s="57" t="str">
        <f>IF(OR(E428="V",G428="V"),"V",IF(AND(E428="None",G428="None"),"None",(IF(E428="None",0,E428)+IF(G428="None",0,G428)+IF(H428="Yes",CharacterSheet!$V$34,0))))</f>
        <v>None</v>
      </c>
      <c r="J428" s="57" t="s">
        <v>361</v>
      </c>
      <c r="K428" s="66">
        <f>IF(J428="no",0,IF(OR(F428="None",F428="Cheval",F428="Legend",F428="Mystery",F428="Prophecy",F428="TsukumoGami"),0,IF(F428="Varies","V",IF(AND(G428=0,CharacterSheet!$R$36="No"),0,IF(AND(G428=0,CharacterSheet!$R$36="Yes"),LOOKUP(D428,Reference!$N$2:$N$10,Reference!$O$2:$O$10),IF(G428&gt;0,LOOKUP(D428,Reference!$N$2:$N$10,Reference!$P$2:$P$10),"ERROR"))))))</f>
        <v>0</v>
      </c>
      <c r="L428" s="66" t="s">
        <v>361</v>
      </c>
      <c r="M428" s="66">
        <f>IF(E428="V","V",IF(J428="Yes",K428,0)+IF(L428="Yes",CharacterSheet!D442,0))</f>
        <v>0</v>
      </c>
      <c r="N428" s="66" t="s">
        <v>1072</v>
      </c>
      <c r="O428" s="66" t="s">
        <v>508</v>
      </c>
      <c r="P428" s="66" t="s">
        <v>1068</v>
      </c>
      <c r="Q428" s="188">
        <v>228</v>
      </c>
    </row>
    <row r="429" spans="1:17" x14ac:dyDescent="0.25">
      <c r="A429" s="86" t="s">
        <v>1445</v>
      </c>
      <c r="B429" s="39" t="s">
        <v>177</v>
      </c>
      <c r="C429" s="39">
        <v>2</v>
      </c>
      <c r="D429" s="66" t="s">
        <v>1086</v>
      </c>
      <c r="E429" s="66" t="str">
        <f>LOOKUP(D429,Reference!$B$33:$B$46,Reference!$C$33:$C$46)</f>
        <v>V</v>
      </c>
      <c r="F429" s="66" t="s">
        <v>1086</v>
      </c>
      <c r="G429" s="66" t="str">
        <f>LOOKUP(F429,Reference!$D$32:$D$55,Reference!$E$32:$E$55)</f>
        <v>V</v>
      </c>
      <c r="H429" s="66" t="s">
        <v>361</v>
      </c>
      <c r="I429" s="57" t="str">
        <f>IF(OR(E429="V",G429="V"),"V",IF(AND(E429="None",G429="None"),"None",(IF(E429="None",0,E429)+IF(G429="None",0,G429)+IF(H429="Yes",CharacterSheet!$V$34,0))))</f>
        <v>V</v>
      </c>
      <c r="J429" s="57" t="s">
        <v>360</v>
      </c>
      <c r="K429" s="66" t="str">
        <f>IF(J429="no",0,IF(OR(F429="None",F429="Cheval",F429="Legend",F429="Mystery",F429="Prophecy",F429="TsukumoGami"),0,IF(F429="Varies","V",IF(AND(G429=0,CharacterSheet!$R$36="No"),0,IF(AND(G429=0,CharacterSheet!$R$36="Yes"),LOOKUP(D429,Reference!$N$2:$N$10,Reference!$O$2:$O$10),IF(G429&gt;0,LOOKUP(D429,Reference!$N$2:$N$10,Reference!$P$2:$P$10),"ERROR"))))))</f>
        <v>V</v>
      </c>
      <c r="L429" s="66" t="s">
        <v>361</v>
      </c>
      <c r="M429" s="66" t="str">
        <f>IF(E429="V","V",IF(J429="Yes",K429,0)+IF(L429="Yes",CharacterSheet!D422,0))</f>
        <v>V</v>
      </c>
      <c r="N429" s="66" t="s">
        <v>1072</v>
      </c>
      <c r="O429" s="66" t="s">
        <v>1086</v>
      </c>
      <c r="P429" s="66" t="s">
        <v>1068</v>
      </c>
      <c r="Q429" s="188">
        <v>96</v>
      </c>
    </row>
    <row r="430" spans="1:17" ht="15.75" thickBot="1" x14ac:dyDescent="0.3">
      <c r="A430" s="102" t="s">
        <v>1517</v>
      </c>
      <c r="B430" s="72" t="s">
        <v>704</v>
      </c>
      <c r="C430" s="71">
        <v>10</v>
      </c>
      <c r="D430" s="72" t="s">
        <v>13</v>
      </c>
      <c r="E430" s="72">
        <f>LOOKUP(D430,Reference!$B$33:$B$46,Reference!$C$33:$C$46)</f>
        <v>1</v>
      </c>
      <c r="F430" s="72" t="s">
        <v>57</v>
      </c>
      <c r="G430" s="72">
        <f>LOOKUP(F430,Reference!$D$32:$D$55,Reference!$E$32:$E$55)</f>
        <v>0</v>
      </c>
      <c r="H430" s="72" t="s">
        <v>361</v>
      </c>
      <c r="I430" s="57">
        <f>IF(OR(E430="V",G430="V"),"V",IF(AND(E430="None",G430="None"),"None",(IF(E430="None",0,E430)+IF(G430="None",0,G430)+IF(H430="Yes",CharacterSheet!$V$34,0))))</f>
        <v>1</v>
      </c>
      <c r="J430" s="57" t="s">
        <v>360</v>
      </c>
      <c r="K430" s="72">
        <f>IF(J430="no",0,IF(OR(F430="None",F430="Cheval",F430="Legend",F430="Mystery",F430="Prophecy",F430="TsukumoGami"),0,IF(F430="Varies","V",IF(AND(G430=0,CharacterSheet!$R$36="No"),0,IF(AND(G430=0,CharacterSheet!$R$36="Yes"),LOOKUP(D430,Reference!$N$2:$N$10,Reference!$O$2:$O$10),IF(G430&gt;0,LOOKUP(D430,Reference!$N$2:$N$10,Reference!$P$2:$P$10),"ERROR"))))))</f>
        <v>0</v>
      </c>
      <c r="L430" s="72" t="s">
        <v>361</v>
      </c>
      <c r="M430" s="72">
        <f>IF(E430="V","V",IF(J430="Yes",K430,0)+IF(L430="Yes",CharacterSheet!D282,0))</f>
        <v>0</v>
      </c>
      <c r="N430" s="72" t="s">
        <v>1652</v>
      </c>
      <c r="O430" s="72" t="s">
        <v>1551</v>
      </c>
      <c r="P430" s="72" t="s">
        <v>1507</v>
      </c>
      <c r="Q430" s="189">
        <v>38</v>
      </c>
    </row>
  </sheetData>
  <sheetProtection password="E9C2" sheet="1" objects="1" scenarios="1" selectLockedCells="1" selectUnlockedCells="1"/>
  <sortState ref="A2:Q430">
    <sortCondition ref="A2:A430"/>
  </sortState>
  <dataValidations count="1">
    <dataValidation type="list" allowBlank="1" showInputMessage="1" showErrorMessage="1" sqref="H2:H430 L2:L430 J2:J430">
      <formula1>Test</formula1>
    </dataValidation>
  </dataValidations>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sheetPr>
  <dimension ref="A1:F170"/>
  <sheetViews>
    <sheetView view="pageBreakPreview" topLeftCell="G1" zoomScale="60" zoomScaleNormal="400" workbookViewId="0">
      <selection activeCell="F104" sqref="A1:F1048576"/>
    </sheetView>
  </sheetViews>
  <sheetFormatPr defaultRowHeight="15" x14ac:dyDescent="0.25"/>
  <cols>
    <col min="1" max="1" width="39.7109375" style="165" hidden="1" customWidth="1"/>
    <col min="2" max="2" width="14.42578125" style="165" hidden="1" customWidth="1"/>
    <col min="3" max="3" width="29.42578125" style="165" hidden="1" customWidth="1"/>
    <col min="4" max="4" width="34.42578125" style="165" hidden="1" customWidth="1"/>
    <col min="5" max="5" width="11.28515625" style="165" hidden="1" customWidth="1"/>
    <col min="6" max="6" width="8.28515625" style="165" hidden="1" customWidth="1"/>
    <col min="7" max="16384" width="9.140625" style="38"/>
  </cols>
  <sheetData>
    <row r="1" spans="1:6" x14ac:dyDescent="0.25">
      <c r="A1" s="8" t="s">
        <v>62</v>
      </c>
      <c r="B1" s="8" t="s">
        <v>506</v>
      </c>
      <c r="C1" s="8" t="s">
        <v>507</v>
      </c>
      <c r="D1" s="8" t="s">
        <v>33</v>
      </c>
      <c r="E1" s="8" t="s">
        <v>139</v>
      </c>
      <c r="F1" s="8" t="s">
        <v>138</v>
      </c>
    </row>
    <row r="2" spans="1:6" x14ac:dyDescent="0.25">
      <c r="A2" s="165" t="s">
        <v>1056</v>
      </c>
      <c r="B2" s="165" t="s">
        <v>21</v>
      </c>
      <c r="C2" s="165" t="s">
        <v>508</v>
      </c>
      <c r="D2" s="165" t="s">
        <v>1796</v>
      </c>
      <c r="E2" s="165" t="s">
        <v>1068</v>
      </c>
      <c r="F2" s="165">
        <v>59</v>
      </c>
    </row>
    <row r="3" spans="1:6" x14ac:dyDescent="0.25">
      <c r="A3" s="165" t="s">
        <v>974</v>
      </c>
      <c r="B3" s="165" t="s">
        <v>17</v>
      </c>
      <c r="C3" s="165" t="s">
        <v>508</v>
      </c>
      <c r="D3" s="165" t="s">
        <v>508</v>
      </c>
      <c r="E3" s="165" t="s">
        <v>1067</v>
      </c>
      <c r="F3" s="165">
        <v>60</v>
      </c>
    </row>
    <row r="4" spans="1:6" x14ac:dyDescent="0.25">
      <c r="A4" s="146" t="s">
        <v>968</v>
      </c>
      <c r="B4" s="165" t="s">
        <v>13</v>
      </c>
      <c r="C4" s="165" t="s">
        <v>508</v>
      </c>
      <c r="D4" s="165" t="s">
        <v>1079</v>
      </c>
      <c r="E4" s="165" t="s">
        <v>5</v>
      </c>
      <c r="F4" s="165">
        <v>62</v>
      </c>
    </row>
    <row r="5" spans="1:6" x14ac:dyDescent="0.25">
      <c r="A5" s="146" t="s">
        <v>401</v>
      </c>
      <c r="B5" s="165" t="s">
        <v>13</v>
      </c>
      <c r="C5" s="165" t="s">
        <v>412</v>
      </c>
      <c r="D5" s="165" t="s">
        <v>1078</v>
      </c>
      <c r="E5" s="165" t="s">
        <v>5</v>
      </c>
      <c r="F5" s="165">
        <v>63</v>
      </c>
    </row>
    <row r="6" spans="1:6" x14ac:dyDescent="0.25">
      <c r="A6" s="146" t="s">
        <v>388</v>
      </c>
      <c r="B6" s="165" t="s">
        <v>30</v>
      </c>
      <c r="C6" s="165" t="s">
        <v>393</v>
      </c>
      <c r="D6" s="165" t="s">
        <v>1074</v>
      </c>
      <c r="E6" s="165" t="s">
        <v>1068</v>
      </c>
      <c r="F6" s="165">
        <v>51</v>
      </c>
    </row>
    <row r="7" spans="1:6" x14ac:dyDescent="0.25">
      <c r="A7" s="165" t="s">
        <v>1038</v>
      </c>
      <c r="B7" s="165" t="s">
        <v>20</v>
      </c>
      <c r="C7" s="165" t="s">
        <v>508</v>
      </c>
      <c r="D7" s="165" t="s">
        <v>1077</v>
      </c>
      <c r="E7" s="165" t="s">
        <v>1068</v>
      </c>
      <c r="F7" s="165">
        <v>57</v>
      </c>
    </row>
    <row r="8" spans="1:6" x14ac:dyDescent="0.25">
      <c r="A8" s="165" t="s">
        <v>433</v>
      </c>
      <c r="B8" s="165" t="s">
        <v>16</v>
      </c>
      <c r="C8" s="165" t="s">
        <v>508</v>
      </c>
      <c r="D8" s="165" t="s">
        <v>1072</v>
      </c>
      <c r="E8" s="165" t="s">
        <v>141</v>
      </c>
      <c r="F8" s="165">
        <v>130</v>
      </c>
    </row>
    <row r="9" spans="1:6" x14ac:dyDescent="0.25">
      <c r="A9" s="165" t="s">
        <v>1057</v>
      </c>
      <c r="B9" s="165" t="s">
        <v>21</v>
      </c>
      <c r="C9" s="165" t="s">
        <v>1043</v>
      </c>
      <c r="D9" s="165" t="s">
        <v>1077</v>
      </c>
      <c r="E9" s="165" t="s">
        <v>1068</v>
      </c>
      <c r="F9" s="165">
        <v>59</v>
      </c>
    </row>
    <row r="10" spans="1:6" x14ac:dyDescent="0.25">
      <c r="A10" s="165" t="s">
        <v>434</v>
      </c>
      <c r="B10" s="165" t="s">
        <v>16</v>
      </c>
      <c r="C10" s="165" t="s">
        <v>436</v>
      </c>
      <c r="D10" s="165" t="s">
        <v>1072</v>
      </c>
      <c r="E10" s="165" t="s">
        <v>1067</v>
      </c>
      <c r="F10" s="165">
        <v>59</v>
      </c>
    </row>
    <row r="11" spans="1:6" x14ac:dyDescent="0.25">
      <c r="A11" s="165" t="s">
        <v>435</v>
      </c>
      <c r="B11" s="165" t="s">
        <v>16</v>
      </c>
      <c r="C11" s="165" t="s">
        <v>438</v>
      </c>
      <c r="D11" s="165" t="s">
        <v>1076</v>
      </c>
      <c r="E11" s="165" t="s">
        <v>1068</v>
      </c>
      <c r="F11" s="165">
        <v>54</v>
      </c>
    </row>
    <row r="12" spans="1:6" x14ac:dyDescent="0.25">
      <c r="A12" s="165" t="s">
        <v>436</v>
      </c>
      <c r="B12" s="165" t="s">
        <v>16</v>
      </c>
      <c r="C12" s="165" t="s">
        <v>508</v>
      </c>
      <c r="D12" s="165" t="s">
        <v>1072</v>
      </c>
      <c r="E12" s="165" t="s">
        <v>141</v>
      </c>
      <c r="F12" s="165">
        <v>130</v>
      </c>
    </row>
    <row r="13" spans="1:6" x14ac:dyDescent="0.25">
      <c r="A13" s="165" t="s">
        <v>992</v>
      </c>
      <c r="B13" s="165" t="s">
        <v>18</v>
      </c>
      <c r="C13" s="165" t="s">
        <v>508</v>
      </c>
      <c r="D13" s="165" t="s">
        <v>1072</v>
      </c>
      <c r="E13" s="165" t="s">
        <v>1067</v>
      </c>
      <c r="F13" s="165">
        <v>62</v>
      </c>
    </row>
    <row r="14" spans="1:6" x14ac:dyDescent="0.25">
      <c r="A14" s="165" t="s">
        <v>1033</v>
      </c>
      <c r="B14" s="165" t="s">
        <v>20</v>
      </c>
      <c r="C14" s="165" t="s">
        <v>508</v>
      </c>
      <c r="D14" s="165" t="s">
        <v>1072</v>
      </c>
      <c r="E14" s="165" t="s">
        <v>5</v>
      </c>
      <c r="F14" s="165">
        <v>74</v>
      </c>
    </row>
    <row r="15" spans="1:6" x14ac:dyDescent="0.25">
      <c r="A15" s="165" t="s">
        <v>969</v>
      </c>
      <c r="B15" s="165" t="s">
        <v>17</v>
      </c>
      <c r="C15" s="165" t="s">
        <v>508</v>
      </c>
      <c r="D15" s="165" t="s">
        <v>1072</v>
      </c>
      <c r="E15" s="165" t="s">
        <v>141</v>
      </c>
      <c r="F15" s="165">
        <v>131</v>
      </c>
    </row>
    <row r="16" spans="1:6" x14ac:dyDescent="0.25">
      <c r="A16" s="165" t="s">
        <v>112</v>
      </c>
      <c r="B16" s="165" t="s">
        <v>14</v>
      </c>
      <c r="C16" s="165" t="s">
        <v>508</v>
      </c>
      <c r="D16" s="165" t="s">
        <v>1078</v>
      </c>
      <c r="E16" s="165" t="s">
        <v>1067</v>
      </c>
      <c r="F16" s="165">
        <v>57</v>
      </c>
    </row>
    <row r="17" spans="1:6" x14ac:dyDescent="0.25">
      <c r="A17" s="165" t="s">
        <v>437</v>
      </c>
      <c r="B17" s="165" t="s">
        <v>16</v>
      </c>
      <c r="C17" s="165" t="s">
        <v>450</v>
      </c>
      <c r="D17" s="165" t="s">
        <v>1077</v>
      </c>
      <c r="E17" s="165" t="s">
        <v>5</v>
      </c>
      <c r="F17" s="165">
        <v>67</v>
      </c>
    </row>
    <row r="18" spans="1:6" x14ac:dyDescent="0.25">
      <c r="A18" s="165" t="s">
        <v>438</v>
      </c>
      <c r="B18" s="165" t="s">
        <v>16</v>
      </c>
      <c r="C18" s="165" t="s">
        <v>508</v>
      </c>
      <c r="D18" s="165" t="s">
        <v>1072</v>
      </c>
      <c r="E18" s="165" t="s">
        <v>5</v>
      </c>
      <c r="F18" s="165">
        <v>68</v>
      </c>
    </row>
    <row r="19" spans="1:6" x14ac:dyDescent="0.25">
      <c r="A19" s="165" t="s">
        <v>1010</v>
      </c>
      <c r="B19" s="165" t="s">
        <v>19</v>
      </c>
      <c r="C19" s="165" t="s">
        <v>508</v>
      </c>
      <c r="D19" s="165" t="s">
        <v>1799</v>
      </c>
      <c r="E19" s="165" t="s">
        <v>1067</v>
      </c>
      <c r="F19" s="165">
        <v>64</v>
      </c>
    </row>
    <row r="20" spans="1:6" x14ac:dyDescent="0.25">
      <c r="A20" s="146" t="s">
        <v>402</v>
      </c>
      <c r="B20" s="165" t="s">
        <v>13</v>
      </c>
      <c r="C20" s="165" t="s">
        <v>508</v>
      </c>
      <c r="D20" s="165" t="s">
        <v>1799</v>
      </c>
      <c r="E20" s="165" t="s">
        <v>141</v>
      </c>
      <c r="F20" s="165">
        <v>127</v>
      </c>
    </row>
    <row r="21" spans="1:6" x14ac:dyDescent="0.25">
      <c r="A21" s="165" t="s">
        <v>987</v>
      </c>
      <c r="B21" s="165" t="s">
        <v>18</v>
      </c>
      <c r="C21" s="165" t="s">
        <v>508</v>
      </c>
      <c r="D21" s="165" t="s">
        <v>1072</v>
      </c>
      <c r="E21" s="165" t="s">
        <v>141</v>
      </c>
      <c r="F21" s="165">
        <v>132</v>
      </c>
    </row>
    <row r="22" spans="1:6" x14ac:dyDescent="0.25">
      <c r="A22" s="165" t="s">
        <v>439</v>
      </c>
      <c r="B22" s="165" t="s">
        <v>16</v>
      </c>
      <c r="C22" s="165" t="s">
        <v>508</v>
      </c>
      <c r="D22" s="165" t="s">
        <v>1078</v>
      </c>
      <c r="E22" s="165" t="s">
        <v>141</v>
      </c>
      <c r="F22" s="165">
        <v>130</v>
      </c>
    </row>
    <row r="23" spans="1:6" x14ac:dyDescent="0.25">
      <c r="A23" s="165" t="s">
        <v>1028</v>
      </c>
      <c r="B23" s="165" t="s">
        <v>20</v>
      </c>
      <c r="C23" s="165" t="s">
        <v>508</v>
      </c>
      <c r="D23" s="165" t="s">
        <v>1799</v>
      </c>
      <c r="E23" s="165" t="s">
        <v>1067</v>
      </c>
      <c r="F23" s="165">
        <v>65</v>
      </c>
    </row>
    <row r="24" spans="1:6" x14ac:dyDescent="0.25">
      <c r="A24" s="165" t="s">
        <v>1015</v>
      </c>
      <c r="B24" s="165" t="s">
        <v>19</v>
      </c>
      <c r="C24" s="165" t="s">
        <v>1014</v>
      </c>
      <c r="D24" s="165" t="s">
        <v>1593</v>
      </c>
      <c r="E24" s="165" t="s">
        <v>5</v>
      </c>
      <c r="F24" s="165">
        <v>73</v>
      </c>
    </row>
    <row r="25" spans="1:6" x14ac:dyDescent="0.25">
      <c r="A25" s="165" t="s">
        <v>1046</v>
      </c>
      <c r="B25" s="165" t="s">
        <v>21</v>
      </c>
      <c r="C25" s="165" t="s">
        <v>508</v>
      </c>
      <c r="D25" s="165" t="s">
        <v>1799</v>
      </c>
      <c r="E25" s="165" t="s">
        <v>1067</v>
      </c>
      <c r="F25" s="165">
        <v>66</v>
      </c>
    </row>
    <row r="26" spans="1:6" x14ac:dyDescent="0.25">
      <c r="A26" s="165" t="s">
        <v>988</v>
      </c>
      <c r="B26" s="165" t="s">
        <v>18</v>
      </c>
      <c r="C26" s="165" t="s">
        <v>508</v>
      </c>
      <c r="D26" s="165" t="s">
        <v>1072</v>
      </c>
      <c r="E26" s="165" t="s">
        <v>141</v>
      </c>
      <c r="F26" s="165">
        <v>133</v>
      </c>
    </row>
    <row r="27" spans="1:6" x14ac:dyDescent="0.25">
      <c r="A27" s="165" t="s">
        <v>993</v>
      </c>
      <c r="B27" s="165" t="s">
        <v>18</v>
      </c>
      <c r="C27" s="165" t="s">
        <v>991</v>
      </c>
      <c r="D27" s="165" t="s">
        <v>1797</v>
      </c>
      <c r="E27" s="165" t="s">
        <v>1067</v>
      </c>
      <c r="F27" s="165">
        <v>62</v>
      </c>
    </row>
    <row r="28" spans="1:6" x14ac:dyDescent="0.25">
      <c r="A28" s="165" t="s">
        <v>1039</v>
      </c>
      <c r="B28" s="165" t="s">
        <v>20</v>
      </c>
      <c r="C28" s="165" t="s">
        <v>1023</v>
      </c>
      <c r="D28" s="165" t="s">
        <v>1086</v>
      </c>
      <c r="E28" s="165" t="s">
        <v>1068</v>
      </c>
      <c r="F28" s="165">
        <v>58</v>
      </c>
    </row>
    <row r="29" spans="1:6" x14ac:dyDescent="0.25">
      <c r="A29" s="165" t="s">
        <v>440</v>
      </c>
      <c r="B29" s="165" t="s">
        <v>16</v>
      </c>
      <c r="C29" s="165" t="s">
        <v>439</v>
      </c>
      <c r="D29" s="165" t="s">
        <v>1085</v>
      </c>
      <c r="E29" s="165" t="s">
        <v>1067</v>
      </c>
      <c r="F29" s="165">
        <v>59</v>
      </c>
    </row>
    <row r="30" spans="1:6" x14ac:dyDescent="0.25">
      <c r="A30" s="146" t="s">
        <v>389</v>
      </c>
      <c r="B30" s="165" t="s">
        <v>30</v>
      </c>
      <c r="C30" s="165" t="s">
        <v>508</v>
      </c>
      <c r="D30" s="165" t="s">
        <v>1799</v>
      </c>
      <c r="E30" s="165" t="s">
        <v>141</v>
      </c>
      <c r="F30" s="165">
        <v>126</v>
      </c>
    </row>
    <row r="31" spans="1:6" x14ac:dyDescent="0.25">
      <c r="A31" s="146" t="s">
        <v>416</v>
      </c>
      <c r="B31" s="165" t="s">
        <v>14</v>
      </c>
      <c r="C31" s="165" t="s">
        <v>508</v>
      </c>
      <c r="D31" s="165" t="s">
        <v>1072</v>
      </c>
      <c r="E31" s="165" t="s">
        <v>141</v>
      </c>
      <c r="F31" s="165">
        <v>129</v>
      </c>
    </row>
    <row r="32" spans="1:6" x14ac:dyDescent="0.25">
      <c r="A32" s="165" t="s">
        <v>984</v>
      </c>
      <c r="B32" s="165" t="s">
        <v>17</v>
      </c>
      <c r="C32" s="165" t="s">
        <v>1071</v>
      </c>
      <c r="D32" s="165" t="s">
        <v>1086</v>
      </c>
      <c r="E32" s="165" t="s">
        <v>1068</v>
      </c>
      <c r="F32" s="165">
        <v>54</v>
      </c>
    </row>
    <row r="33" spans="1:6" x14ac:dyDescent="0.25">
      <c r="A33" s="165" t="s">
        <v>997</v>
      </c>
      <c r="B33" s="165" t="s">
        <v>18</v>
      </c>
      <c r="C33" s="165" t="s">
        <v>1070</v>
      </c>
      <c r="D33" s="165" t="s">
        <v>1072</v>
      </c>
      <c r="E33" s="165" t="s">
        <v>5</v>
      </c>
      <c r="F33" s="165">
        <v>71</v>
      </c>
    </row>
    <row r="34" spans="1:6" x14ac:dyDescent="0.25">
      <c r="A34" s="165" t="s">
        <v>417</v>
      </c>
      <c r="B34" s="165" t="s">
        <v>14</v>
      </c>
      <c r="C34" s="165" t="s">
        <v>423</v>
      </c>
      <c r="D34" s="165" t="s">
        <v>1799</v>
      </c>
      <c r="E34" s="165" t="s">
        <v>1067</v>
      </c>
      <c r="F34" s="165">
        <v>58</v>
      </c>
    </row>
    <row r="35" spans="1:6" x14ac:dyDescent="0.25">
      <c r="A35" s="146" t="s">
        <v>390</v>
      </c>
      <c r="B35" s="165" t="s">
        <v>30</v>
      </c>
      <c r="C35" s="165" t="s">
        <v>108</v>
      </c>
      <c r="D35" s="165" t="s">
        <v>1074</v>
      </c>
      <c r="E35" s="165" t="s">
        <v>5</v>
      </c>
      <c r="F35" s="165">
        <v>60</v>
      </c>
    </row>
    <row r="36" spans="1:6" x14ac:dyDescent="0.25">
      <c r="A36" s="146" t="s">
        <v>403</v>
      </c>
      <c r="B36" s="165" t="s">
        <v>13</v>
      </c>
      <c r="C36" s="165" t="s">
        <v>402</v>
      </c>
      <c r="D36" s="165" t="s">
        <v>1799</v>
      </c>
      <c r="E36" s="165" t="s">
        <v>1067</v>
      </c>
      <c r="F36" s="165">
        <v>56</v>
      </c>
    </row>
    <row r="37" spans="1:6" x14ac:dyDescent="0.25">
      <c r="A37" s="146" t="s">
        <v>391</v>
      </c>
      <c r="B37" s="165" t="s">
        <v>30</v>
      </c>
      <c r="C37" s="165" t="s">
        <v>109</v>
      </c>
      <c r="D37" s="165" t="s">
        <v>1075</v>
      </c>
      <c r="E37" s="165" t="s">
        <v>5</v>
      </c>
      <c r="F37" s="165">
        <v>60</v>
      </c>
    </row>
    <row r="38" spans="1:6" x14ac:dyDescent="0.25">
      <c r="A38" s="165" t="s">
        <v>418</v>
      </c>
      <c r="B38" s="165" t="s">
        <v>14</v>
      </c>
      <c r="C38" s="165" t="s">
        <v>416</v>
      </c>
      <c r="D38" s="165" t="s">
        <v>1074</v>
      </c>
      <c r="E38" s="165" t="s">
        <v>5</v>
      </c>
      <c r="F38" s="165">
        <v>65</v>
      </c>
    </row>
    <row r="39" spans="1:6" x14ac:dyDescent="0.25">
      <c r="A39" s="165" t="s">
        <v>441</v>
      </c>
      <c r="B39" s="165" t="s">
        <v>16</v>
      </c>
      <c r="C39" s="165" t="s">
        <v>448</v>
      </c>
      <c r="D39" s="165" t="s">
        <v>1083</v>
      </c>
      <c r="E39" s="165" t="s">
        <v>5</v>
      </c>
      <c r="F39" s="165">
        <v>68</v>
      </c>
    </row>
    <row r="40" spans="1:6" x14ac:dyDescent="0.25">
      <c r="A40" s="165" t="s">
        <v>419</v>
      </c>
      <c r="B40" s="165" t="s">
        <v>14</v>
      </c>
      <c r="C40" s="165" t="s">
        <v>421</v>
      </c>
      <c r="D40" s="165" t="s">
        <v>1799</v>
      </c>
      <c r="E40" s="165" t="s">
        <v>1067</v>
      </c>
      <c r="F40" s="165">
        <v>58</v>
      </c>
    </row>
    <row r="41" spans="1:6" x14ac:dyDescent="0.25">
      <c r="A41" s="146" t="s">
        <v>392</v>
      </c>
      <c r="B41" s="165" t="s">
        <v>30</v>
      </c>
      <c r="C41" s="165" t="s">
        <v>393</v>
      </c>
      <c r="D41" s="165" t="s">
        <v>1072</v>
      </c>
      <c r="E41" s="165" t="s">
        <v>1067</v>
      </c>
      <c r="F41" s="165">
        <v>53</v>
      </c>
    </row>
    <row r="42" spans="1:6" x14ac:dyDescent="0.25">
      <c r="A42" s="146" t="s">
        <v>108</v>
      </c>
      <c r="B42" s="165" t="s">
        <v>30</v>
      </c>
      <c r="C42" s="165" t="s">
        <v>389</v>
      </c>
      <c r="D42" s="165" t="s">
        <v>1072</v>
      </c>
      <c r="E42" s="165" t="s">
        <v>1067</v>
      </c>
      <c r="F42" s="165">
        <v>53</v>
      </c>
    </row>
    <row r="43" spans="1:6" x14ac:dyDescent="0.25">
      <c r="A43" s="165" t="s">
        <v>1002</v>
      </c>
      <c r="B43" s="165" t="s">
        <v>18</v>
      </c>
      <c r="C43" s="165" t="s">
        <v>989</v>
      </c>
      <c r="D43" s="165" t="s">
        <v>1077</v>
      </c>
      <c r="E43" s="165" t="s">
        <v>1068</v>
      </c>
      <c r="F43" s="165">
        <v>55</v>
      </c>
    </row>
    <row r="44" spans="1:6" x14ac:dyDescent="0.25">
      <c r="A44" s="165" t="s">
        <v>998</v>
      </c>
      <c r="B44" s="165" t="s">
        <v>18</v>
      </c>
      <c r="C44" s="165" t="s">
        <v>508</v>
      </c>
      <c r="D44" s="165" t="s">
        <v>1799</v>
      </c>
      <c r="E44" s="165" t="s">
        <v>5</v>
      </c>
      <c r="F44" s="165">
        <v>71</v>
      </c>
    </row>
    <row r="45" spans="1:6" x14ac:dyDescent="0.25">
      <c r="A45" s="165" t="s">
        <v>1058</v>
      </c>
      <c r="B45" s="165" t="s">
        <v>21</v>
      </c>
      <c r="C45" s="165" t="s">
        <v>508</v>
      </c>
      <c r="D45" s="165" t="s">
        <v>1072</v>
      </c>
      <c r="E45" s="165" t="s">
        <v>1068</v>
      </c>
      <c r="F45" s="165">
        <v>59</v>
      </c>
    </row>
    <row r="46" spans="1:6" x14ac:dyDescent="0.25">
      <c r="A46" s="165" t="s">
        <v>989</v>
      </c>
      <c r="B46" s="165" t="s">
        <v>18</v>
      </c>
      <c r="C46" s="165" t="s">
        <v>508</v>
      </c>
      <c r="D46" s="165" t="s">
        <v>1072</v>
      </c>
      <c r="E46" s="165" t="s">
        <v>141</v>
      </c>
      <c r="F46" s="165">
        <v>133</v>
      </c>
    </row>
    <row r="47" spans="1:6" x14ac:dyDescent="0.25">
      <c r="A47" s="165" t="s">
        <v>442</v>
      </c>
      <c r="B47" s="165" t="s">
        <v>16</v>
      </c>
      <c r="C47" s="165" t="s">
        <v>439</v>
      </c>
      <c r="D47" s="165" t="s">
        <v>1072</v>
      </c>
      <c r="E47" s="165" t="s">
        <v>5</v>
      </c>
      <c r="F47" s="165">
        <v>68</v>
      </c>
    </row>
    <row r="48" spans="1:6" x14ac:dyDescent="0.25">
      <c r="A48" s="165" t="s">
        <v>1011</v>
      </c>
      <c r="B48" s="165" t="s">
        <v>19</v>
      </c>
      <c r="C48" s="165" t="s">
        <v>1008</v>
      </c>
      <c r="D48" s="165" t="s">
        <v>1799</v>
      </c>
      <c r="E48" s="165" t="s">
        <v>1067</v>
      </c>
      <c r="F48" s="165">
        <v>64</v>
      </c>
    </row>
    <row r="49" spans="1:6" x14ac:dyDescent="0.25">
      <c r="A49" s="146" t="s">
        <v>404</v>
      </c>
      <c r="B49" s="165" t="s">
        <v>13</v>
      </c>
      <c r="C49" s="165" t="s">
        <v>508</v>
      </c>
      <c r="D49" s="165" t="s">
        <v>1072</v>
      </c>
      <c r="E49" s="165" t="s">
        <v>1067</v>
      </c>
      <c r="F49" s="165">
        <v>56</v>
      </c>
    </row>
    <row r="50" spans="1:6" x14ac:dyDescent="0.25">
      <c r="A50" s="165" t="s">
        <v>1047</v>
      </c>
      <c r="B50" s="165" t="s">
        <v>21</v>
      </c>
      <c r="C50" s="165" t="s">
        <v>508</v>
      </c>
      <c r="D50" s="165" t="s">
        <v>1799</v>
      </c>
      <c r="E50" s="165" t="s">
        <v>1067</v>
      </c>
      <c r="F50" s="165">
        <v>66</v>
      </c>
    </row>
    <row r="51" spans="1:6" x14ac:dyDescent="0.25">
      <c r="A51" s="165" t="s">
        <v>420</v>
      </c>
      <c r="B51" s="165" t="s">
        <v>14</v>
      </c>
      <c r="C51" s="165" t="s">
        <v>508</v>
      </c>
      <c r="D51" s="165" t="s">
        <v>1799</v>
      </c>
      <c r="E51" s="165" t="s">
        <v>5</v>
      </c>
      <c r="F51" s="165">
        <v>65</v>
      </c>
    </row>
    <row r="52" spans="1:6" x14ac:dyDescent="0.25">
      <c r="A52" s="165" t="s">
        <v>1060</v>
      </c>
      <c r="B52" s="165" t="s">
        <v>13</v>
      </c>
      <c r="C52" s="165" t="s">
        <v>113</v>
      </c>
      <c r="D52" s="165" t="s">
        <v>1072</v>
      </c>
      <c r="E52" s="165" t="s">
        <v>364</v>
      </c>
      <c r="F52" s="165">
        <v>32</v>
      </c>
    </row>
    <row r="53" spans="1:6" x14ac:dyDescent="0.25">
      <c r="A53" s="165" t="s">
        <v>1023</v>
      </c>
      <c r="B53" s="165" t="s">
        <v>20</v>
      </c>
      <c r="C53" s="165" t="s">
        <v>508</v>
      </c>
      <c r="D53" s="165" t="s">
        <v>1799</v>
      </c>
      <c r="E53" s="165" t="s">
        <v>141</v>
      </c>
      <c r="F53" s="165">
        <v>135</v>
      </c>
    </row>
    <row r="54" spans="1:6" x14ac:dyDescent="0.25">
      <c r="A54" s="165" t="s">
        <v>1065</v>
      </c>
      <c r="B54" s="165" t="s">
        <v>20</v>
      </c>
      <c r="C54" s="165" t="s">
        <v>508</v>
      </c>
      <c r="D54" s="165" t="s">
        <v>1072</v>
      </c>
      <c r="E54" s="165" t="s">
        <v>364</v>
      </c>
      <c r="F54" s="165">
        <v>34</v>
      </c>
    </row>
    <row r="55" spans="1:6" x14ac:dyDescent="0.25">
      <c r="A55" s="165" t="s">
        <v>1064</v>
      </c>
      <c r="B55" s="165" t="s">
        <v>19</v>
      </c>
      <c r="C55" s="165" t="s">
        <v>508</v>
      </c>
      <c r="D55" s="165" t="s">
        <v>1076</v>
      </c>
      <c r="E55" s="165" t="s">
        <v>364</v>
      </c>
      <c r="F55" s="165">
        <v>33</v>
      </c>
    </row>
    <row r="56" spans="1:6" x14ac:dyDescent="0.25">
      <c r="A56" s="165" t="s">
        <v>1063</v>
      </c>
      <c r="B56" s="165" t="s">
        <v>18</v>
      </c>
      <c r="C56" s="165" t="s">
        <v>508</v>
      </c>
      <c r="D56" s="165" t="s">
        <v>508</v>
      </c>
      <c r="E56" s="165" t="s">
        <v>364</v>
      </c>
      <c r="F56" s="165">
        <v>33</v>
      </c>
    </row>
    <row r="57" spans="1:6" x14ac:dyDescent="0.25">
      <c r="A57" s="165" t="s">
        <v>970</v>
      </c>
      <c r="B57" s="165" t="s">
        <v>17</v>
      </c>
      <c r="C57" s="165" t="s">
        <v>508</v>
      </c>
      <c r="D57" s="165" t="s">
        <v>1072</v>
      </c>
      <c r="E57" s="165" t="s">
        <v>141</v>
      </c>
      <c r="F57" s="165">
        <v>131</v>
      </c>
    </row>
    <row r="58" spans="1:6" x14ac:dyDescent="0.25">
      <c r="A58" s="165" t="s">
        <v>1059</v>
      </c>
      <c r="B58" s="165" t="s">
        <v>30</v>
      </c>
      <c r="C58" s="165" t="s">
        <v>508</v>
      </c>
      <c r="D58" s="165" t="s">
        <v>1072</v>
      </c>
      <c r="E58" s="165" t="s">
        <v>364</v>
      </c>
      <c r="F58" s="165">
        <v>32</v>
      </c>
    </row>
    <row r="59" spans="1:6" x14ac:dyDescent="0.25">
      <c r="A59" s="165" t="s">
        <v>443</v>
      </c>
      <c r="B59" s="165" t="s">
        <v>16</v>
      </c>
      <c r="C59" s="165" t="s">
        <v>508</v>
      </c>
      <c r="D59" s="165" t="s">
        <v>1078</v>
      </c>
      <c r="E59" s="165" t="s">
        <v>5</v>
      </c>
      <c r="F59" s="165">
        <v>68</v>
      </c>
    </row>
    <row r="60" spans="1:6" x14ac:dyDescent="0.25">
      <c r="A60" s="165" t="s">
        <v>975</v>
      </c>
      <c r="B60" s="165" t="s">
        <v>17</v>
      </c>
      <c r="C60" s="165" t="s">
        <v>971</v>
      </c>
      <c r="D60" s="165" t="s">
        <v>1073</v>
      </c>
      <c r="E60" s="165" t="s">
        <v>1067</v>
      </c>
      <c r="F60" s="165">
        <v>61</v>
      </c>
    </row>
    <row r="61" spans="1:6" x14ac:dyDescent="0.25">
      <c r="A61" s="165" t="s">
        <v>1016</v>
      </c>
      <c r="B61" s="165" t="s">
        <v>19</v>
      </c>
      <c r="C61" s="165" t="s">
        <v>508</v>
      </c>
      <c r="D61" s="165" t="s">
        <v>1799</v>
      </c>
      <c r="E61" s="165" t="s">
        <v>5</v>
      </c>
      <c r="F61" s="165">
        <v>73</v>
      </c>
    </row>
    <row r="62" spans="1:6" x14ac:dyDescent="0.25">
      <c r="A62" s="146" t="s">
        <v>109</v>
      </c>
      <c r="B62" s="165" t="s">
        <v>30</v>
      </c>
      <c r="C62" s="165" t="s">
        <v>508</v>
      </c>
      <c r="D62" s="165" t="s">
        <v>1799</v>
      </c>
      <c r="E62" s="165" t="s">
        <v>141</v>
      </c>
      <c r="F62" s="165">
        <v>126</v>
      </c>
    </row>
    <row r="63" spans="1:6" x14ac:dyDescent="0.25">
      <c r="A63" s="146" t="s">
        <v>421</v>
      </c>
      <c r="B63" s="165" t="s">
        <v>14</v>
      </c>
      <c r="C63" s="165" t="s">
        <v>508</v>
      </c>
      <c r="D63" s="165" t="s">
        <v>1799</v>
      </c>
      <c r="E63" s="165" t="s">
        <v>141</v>
      </c>
      <c r="F63" s="165">
        <v>129</v>
      </c>
    </row>
    <row r="64" spans="1:6" x14ac:dyDescent="0.25">
      <c r="A64" s="146" t="s">
        <v>393</v>
      </c>
      <c r="B64" s="165" t="s">
        <v>30</v>
      </c>
      <c r="C64" s="165" t="s">
        <v>508</v>
      </c>
      <c r="D64" s="165" t="s">
        <v>1072</v>
      </c>
      <c r="E64" s="165" t="s">
        <v>141</v>
      </c>
      <c r="F64" s="165">
        <v>126</v>
      </c>
    </row>
    <row r="65" spans="1:6" x14ac:dyDescent="0.25">
      <c r="A65" s="146" t="s">
        <v>1066</v>
      </c>
      <c r="B65" s="165" t="s">
        <v>30</v>
      </c>
      <c r="C65" s="165" t="s">
        <v>508</v>
      </c>
      <c r="D65" s="165" t="s">
        <v>1799</v>
      </c>
      <c r="E65" s="165" t="s">
        <v>141</v>
      </c>
      <c r="F65" s="165">
        <v>126</v>
      </c>
    </row>
    <row r="66" spans="1:6" x14ac:dyDescent="0.25">
      <c r="A66" s="146" t="s">
        <v>394</v>
      </c>
      <c r="B66" s="165" t="s">
        <v>30</v>
      </c>
      <c r="C66" s="165" t="s">
        <v>398</v>
      </c>
      <c r="D66" s="165" t="s">
        <v>1076</v>
      </c>
      <c r="E66" s="165" t="s">
        <v>5</v>
      </c>
      <c r="F66" s="165">
        <v>61</v>
      </c>
    </row>
    <row r="67" spans="1:6" x14ac:dyDescent="0.25">
      <c r="A67" s="165" t="s">
        <v>422</v>
      </c>
      <c r="B67" s="165" t="s">
        <v>14</v>
      </c>
      <c r="C67" s="165" t="s">
        <v>112</v>
      </c>
      <c r="D67" s="165" t="s">
        <v>1799</v>
      </c>
      <c r="E67" s="165" t="s">
        <v>5</v>
      </c>
      <c r="F67" s="165">
        <v>66</v>
      </c>
    </row>
    <row r="68" spans="1:6" x14ac:dyDescent="0.25">
      <c r="A68" s="165" t="s">
        <v>979</v>
      </c>
      <c r="B68" s="165" t="s">
        <v>17</v>
      </c>
      <c r="C68" s="165" t="s">
        <v>976</v>
      </c>
      <c r="D68" s="165" t="s">
        <v>1073</v>
      </c>
      <c r="E68" s="165" t="s">
        <v>5</v>
      </c>
      <c r="F68" s="165">
        <v>69</v>
      </c>
    </row>
    <row r="69" spans="1:6" x14ac:dyDescent="0.25">
      <c r="A69" s="165" t="s">
        <v>1020</v>
      </c>
      <c r="B69" s="165" t="s">
        <v>19</v>
      </c>
      <c r="C69" s="165" t="s">
        <v>1008</v>
      </c>
      <c r="D69" s="165" t="s">
        <v>1072</v>
      </c>
      <c r="E69" s="165" t="s">
        <v>1068</v>
      </c>
      <c r="F69" s="165">
        <v>56</v>
      </c>
    </row>
    <row r="70" spans="1:6" x14ac:dyDescent="0.25">
      <c r="A70" s="165" t="s">
        <v>994</v>
      </c>
      <c r="B70" s="165" t="s">
        <v>18</v>
      </c>
      <c r="C70" s="165" t="s">
        <v>990</v>
      </c>
      <c r="D70" s="165" t="s">
        <v>1083</v>
      </c>
      <c r="E70" s="165" t="s">
        <v>1067</v>
      </c>
      <c r="F70" s="165">
        <v>62</v>
      </c>
    </row>
    <row r="71" spans="1:6" x14ac:dyDescent="0.25">
      <c r="A71" s="146" t="s">
        <v>423</v>
      </c>
      <c r="B71" s="165" t="s">
        <v>14</v>
      </c>
      <c r="C71" s="165" t="s">
        <v>508</v>
      </c>
      <c r="D71" s="165" t="s">
        <v>1799</v>
      </c>
      <c r="E71" s="165" t="s">
        <v>141</v>
      </c>
      <c r="F71" s="165">
        <v>129</v>
      </c>
    </row>
    <row r="72" spans="1:6" x14ac:dyDescent="0.25">
      <c r="A72" s="165" t="s">
        <v>444</v>
      </c>
      <c r="B72" s="165" t="s">
        <v>16</v>
      </c>
      <c r="C72" s="165" t="s">
        <v>508</v>
      </c>
      <c r="D72" s="165" t="s">
        <v>1072</v>
      </c>
      <c r="E72" s="165" t="s">
        <v>141</v>
      </c>
      <c r="F72" s="165">
        <v>130</v>
      </c>
    </row>
    <row r="73" spans="1:6" x14ac:dyDescent="0.25">
      <c r="A73" s="165" t="s">
        <v>1048</v>
      </c>
      <c r="B73" s="165" t="s">
        <v>21</v>
      </c>
      <c r="C73" s="165" t="s">
        <v>508</v>
      </c>
      <c r="D73" s="165" t="s">
        <v>1072</v>
      </c>
      <c r="E73" s="165" t="s">
        <v>1067</v>
      </c>
      <c r="F73" s="165">
        <v>67</v>
      </c>
    </row>
    <row r="74" spans="1:6" x14ac:dyDescent="0.25">
      <c r="A74" s="165" t="s">
        <v>976</v>
      </c>
      <c r="B74" s="165" t="s">
        <v>17</v>
      </c>
      <c r="C74" s="165" t="s">
        <v>971</v>
      </c>
      <c r="D74" s="165" t="s">
        <v>1073</v>
      </c>
      <c r="E74" s="165" t="s">
        <v>1067</v>
      </c>
      <c r="F74" s="165">
        <v>61</v>
      </c>
    </row>
    <row r="75" spans="1:6" x14ac:dyDescent="0.25">
      <c r="A75" s="165" t="s">
        <v>1041</v>
      </c>
      <c r="B75" s="165" t="s">
        <v>21</v>
      </c>
      <c r="C75" s="165" t="s">
        <v>508</v>
      </c>
      <c r="D75" s="165" t="s">
        <v>1072</v>
      </c>
      <c r="E75" s="165" t="s">
        <v>141</v>
      </c>
      <c r="F75" s="165">
        <v>136</v>
      </c>
    </row>
    <row r="76" spans="1:6" x14ac:dyDescent="0.25">
      <c r="A76" s="165" t="s">
        <v>445</v>
      </c>
      <c r="B76" s="165" t="s">
        <v>16</v>
      </c>
      <c r="C76" s="165" t="s">
        <v>444</v>
      </c>
      <c r="D76" s="165" t="s">
        <v>1076</v>
      </c>
      <c r="E76" s="165" t="s">
        <v>1068</v>
      </c>
      <c r="F76" s="165">
        <v>54</v>
      </c>
    </row>
    <row r="77" spans="1:6" x14ac:dyDescent="0.25">
      <c r="A77" s="165" t="s">
        <v>1034</v>
      </c>
      <c r="B77" s="165" t="s">
        <v>20</v>
      </c>
      <c r="C77" s="165" t="s">
        <v>1029</v>
      </c>
      <c r="D77" s="165" t="s">
        <v>1799</v>
      </c>
      <c r="E77" s="165" t="s">
        <v>5</v>
      </c>
      <c r="F77" s="165">
        <v>74</v>
      </c>
    </row>
    <row r="78" spans="1:6" x14ac:dyDescent="0.25">
      <c r="A78" s="165" t="s">
        <v>424</v>
      </c>
      <c r="B78" s="165" t="s">
        <v>14</v>
      </c>
      <c r="C78" s="165" t="s">
        <v>417</v>
      </c>
      <c r="D78" s="165" t="s">
        <v>1084</v>
      </c>
      <c r="E78" s="165" t="s">
        <v>5</v>
      </c>
      <c r="F78" s="165">
        <v>66</v>
      </c>
    </row>
    <row r="79" spans="1:6" x14ac:dyDescent="0.25">
      <c r="A79" s="165" t="s">
        <v>425</v>
      </c>
      <c r="B79" s="165" t="s">
        <v>14</v>
      </c>
      <c r="C79" s="165" t="s">
        <v>112</v>
      </c>
      <c r="D79" s="165" t="s">
        <v>1076</v>
      </c>
      <c r="E79" s="165" t="s">
        <v>1068</v>
      </c>
      <c r="F79" s="165">
        <v>53</v>
      </c>
    </row>
    <row r="80" spans="1:6" x14ac:dyDescent="0.25">
      <c r="A80" s="165" t="s">
        <v>1051</v>
      </c>
      <c r="B80" s="165" t="s">
        <v>21</v>
      </c>
      <c r="C80" s="165" t="s">
        <v>508</v>
      </c>
      <c r="D80" s="165" t="s">
        <v>1076</v>
      </c>
      <c r="E80" s="165" t="s">
        <v>5</v>
      </c>
      <c r="F80" s="165">
        <v>76</v>
      </c>
    </row>
    <row r="81" spans="1:6" x14ac:dyDescent="0.25">
      <c r="A81" s="165" t="s">
        <v>980</v>
      </c>
      <c r="B81" s="165" t="s">
        <v>17</v>
      </c>
      <c r="C81" s="165" t="s">
        <v>969</v>
      </c>
      <c r="D81" s="165" t="s">
        <v>1077</v>
      </c>
      <c r="E81" s="165" t="s">
        <v>5</v>
      </c>
      <c r="F81" s="165">
        <v>69</v>
      </c>
    </row>
    <row r="82" spans="1:6" x14ac:dyDescent="0.25">
      <c r="A82" s="146" t="s">
        <v>395</v>
      </c>
      <c r="B82" s="165" t="s">
        <v>30</v>
      </c>
      <c r="C82" s="165" t="s">
        <v>508</v>
      </c>
      <c r="D82" s="165" t="s">
        <v>1073</v>
      </c>
      <c r="E82" s="165" t="s">
        <v>1067</v>
      </c>
      <c r="F82" s="165">
        <v>54</v>
      </c>
    </row>
    <row r="83" spans="1:6" x14ac:dyDescent="0.25">
      <c r="A83" s="146" t="s">
        <v>396</v>
      </c>
      <c r="B83" s="165" t="s">
        <v>30</v>
      </c>
      <c r="C83" s="165" t="s">
        <v>1069</v>
      </c>
      <c r="D83" s="165" t="s">
        <v>1074</v>
      </c>
      <c r="E83" s="165" t="s">
        <v>5</v>
      </c>
      <c r="F83" s="165">
        <v>61</v>
      </c>
    </row>
    <row r="84" spans="1:6" x14ac:dyDescent="0.25">
      <c r="A84" s="165" t="s">
        <v>977</v>
      </c>
      <c r="B84" s="165" t="s">
        <v>17</v>
      </c>
      <c r="C84" s="165" t="s">
        <v>508</v>
      </c>
      <c r="D84" s="165" t="s">
        <v>1072</v>
      </c>
      <c r="E84" s="165" t="s">
        <v>1067</v>
      </c>
      <c r="F84" s="165">
        <v>61</v>
      </c>
    </row>
    <row r="85" spans="1:6" x14ac:dyDescent="0.25">
      <c r="A85" s="165" t="s">
        <v>1024</v>
      </c>
      <c r="B85" s="165" t="s">
        <v>20</v>
      </c>
      <c r="C85" s="165" t="s">
        <v>508</v>
      </c>
      <c r="D85" s="165" t="s">
        <v>1799</v>
      </c>
      <c r="E85" s="165" t="s">
        <v>141</v>
      </c>
      <c r="F85" s="165">
        <v>135</v>
      </c>
    </row>
    <row r="86" spans="1:6" x14ac:dyDescent="0.25">
      <c r="A86" s="165" t="s">
        <v>1029</v>
      </c>
      <c r="B86" s="165" t="s">
        <v>20</v>
      </c>
      <c r="C86" s="165" t="s">
        <v>508</v>
      </c>
      <c r="D86" s="165" t="s">
        <v>1799</v>
      </c>
      <c r="E86" s="165" t="s">
        <v>1067</v>
      </c>
      <c r="F86" s="165">
        <v>65</v>
      </c>
    </row>
    <row r="87" spans="1:6" x14ac:dyDescent="0.25">
      <c r="A87" s="165" t="s">
        <v>990</v>
      </c>
      <c r="B87" s="165" t="s">
        <v>18</v>
      </c>
      <c r="C87" s="165" t="s">
        <v>508</v>
      </c>
      <c r="D87" s="165" t="s">
        <v>1072</v>
      </c>
      <c r="E87" s="165" t="s">
        <v>141</v>
      </c>
      <c r="F87" s="165">
        <v>133</v>
      </c>
    </row>
    <row r="88" spans="1:6" x14ac:dyDescent="0.25">
      <c r="A88" s="146" t="s">
        <v>113</v>
      </c>
      <c r="B88" s="165" t="s">
        <v>13</v>
      </c>
      <c r="C88" s="165" t="s">
        <v>508</v>
      </c>
      <c r="D88" s="165" t="s">
        <v>1072</v>
      </c>
      <c r="E88" s="165" t="s">
        <v>141</v>
      </c>
      <c r="F88" s="165">
        <v>127</v>
      </c>
    </row>
    <row r="89" spans="1:6" x14ac:dyDescent="0.25">
      <c r="A89" s="146" t="s">
        <v>397</v>
      </c>
      <c r="B89" s="165" t="s">
        <v>30</v>
      </c>
      <c r="C89" s="165" t="s">
        <v>508</v>
      </c>
      <c r="D89" s="165" t="s">
        <v>1799</v>
      </c>
      <c r="E89" s="165" t="s">
        <v>5</v>
      </c>
      <c r="F89" s="165">
        <v>62</v>
      </c>
    </row>
    <row r="90" spans="1:6" x14ac:dyDescent="0.25">
      <c r="A90" s="165" t="s">
        <v>981</v>
      </c>
      <c r="B90" s="165" t="s">
        <v>17</v>
      </c>
      <c r="C90" s="165" t="s">
        <v>976</v>
      </c>
      <c r="D90" s="165" t="s">
        <v>1083</v>
      </c>
      <c r="E90" s="165" t="s">
        <v>5</v>
      </c>
      <c r="F90" s="165">
        <v>69</v>
      </c>
    </row>
    <row r="91" spans="1:6" x14ac:dyDescent="0.25">
      <c r="A91" s="165" t="s">
        <v>1025</v>
      </c>
      <c r="B91" s="165" t="s">
        <v>20</v>
      </c>
      <c r="C91" s="165" t="s">
        <v>508</v>
      </c>
      <c r="D91" s="165" t="s">
        <v>1799</v>
      </c>
      <c r="E91" s="165" t="s">
        <v>141</v>
      </c>
      <c r="F91" s="165">
        <v>135</v>
      </c>
    </row>
    <row r="92" spans="1:6" x14ac:dyDescent="0.25">
      <c r="A92" s="165" t="s">
        <v>1042</v>
      </c>
      <c r="B92" s="165" t="s">
        <v>21</v>
      </c>
      <c r="C92" s="165" t="s">
        <v>508</v>
      </c>
      <c r="D92" s="165" t="s">
        <v>1799</v>
      </c>
      <c r="E92" s="165" t="s">
        <v>141</v>
      </c>
      <c r="F92" s="165">
        <v>136</v>
      </c>
    </row>
    <row r="93" spans="1:6" x14ac:dyDescent="0.25">
      <c r="A93" s="165" t="s">
        <v>1003</v>
      </c>
      <c r="B93" s="165" t="s">
        <v>18</v>
      </c>
      <c r="C93" s="165" t="s">
        <v>988</v>
      </c>
      <c r="D93" s="165" t="s">
        <v>508</v>
      </c>
      <c r="E93" s="165" t="s">
        <v>1068</v>
      </c>
      <c r="F93" s="165">
        <v>55</v>
      </c>
    </row>
    <row r="94" spans="1:6" x14ac:dyDescent="0.25">
      <c r="A94" s="146" t="s">
        <v>405</v>
      </c>
      <c r="B94" s="165" t="s">
        <v>13</v>
      </c>
      <c r="C94" s="165" t="s">
        <v>508</v>
      </c>
      <c r="D94" s="165" t="s">
        <v>1078</v>
      </c>
      <c r="E94" s="165" t="s">
        <v>1068</v>
      </c>
      <c r="F94" s="165">
        <v>52</v>
      </c>
    </row>
    <row r="95" spans="1:6" x14ac:dyDescent="0.25">
      <c r="A95" s="146" t="s">
        <v>398</v>
      </c>
      <c r="B95" s="165" t="s">
        <v>30</v>
      </c>
      <c r="C95" s="165" t="s">
        <v>1066</v>
      </c>
      <c r="D95" s="165" t="s">
        <v>1072</v>
      </c>
      <c r="E95" s="165" t="s">
        <v>1067</v>
      </c>
      <c r="F95" s="165">
        <v>55</v>
      </c>
    </row>
    <row r="96" spans="1:6" x14ac:dyDescent="0.25">
      <c r="A96" s="146" t="s">
        <v>107</v>
      </c>
      <c r="B96" s="165" t="s">
        <v>13</v>
      </c>
      <c r="C96" s="165" t="s">
        <v>508</v>
      </c>
      <c r="D96" s="165" t="s">
        <v>1799</v>
      </c>
      <c r="E96" s="165" t="s">
        <v>141</v>
      </c>
      <c r="F96" s="165">
        <v>128</v>
      </c>
    </row>
    <row r="97" spans="1:6" x14ac:dyDescent="0.25">
      <c r="A97" s="165" t="s">
        <v>1049</v>
      </c>
      <c r="B97" s="165" t="s">
        <v>21</v>
      </c>
      <c r="C97" s="165" t="s">
        <v>508</v>
      </c>
      <c r="D97" s="165" t="s">
        <v>1799</v>
      </c>
      <c r="E97" s="165" t="s">
        <v>1067</v>
      </c>
      <c r="F97" s="165">
        <v>67</v>
      </c>
    </row>
    <row r="98" spans="1:6" x14ac:dyDescent="0.25">
      <c r="A98" s="165" t="s">
        <v>1030</v>
      </c>
      <c r="B98" s="165" t="s">
        <v>20</v>
      </c>
      <c r="C98" s="165" t="s">
        <v>508</v>
      </c>
      <c r="D98" s="165" t="s">
        <v>1799</v>
      </c>
      <c r="E98" s="165" t="s">
        <v>1067</v>
      </c>
      <c r="F98" s="165">
        <v>65</v>
      </c>
    </row>
    <row r="99" spans="1:6" x14ac:dyDescent="0.25">
      <c r="A99" s="165" t="s">
        <v>995</v>
      </c>
      <c r="B99" s="165" t="s">
        <v>18</v>
      </c>
      <c r="C99" s="165" t="s">
        <v>508</v>
      </c>
      <c r="D99" s="165" t="s">
        <v>1073</v>
      </c>
      <c r="E99" s="165" t="s">
        <v>1067</v>
      </c>
      <c r="F99" s="165">
        <v>63</v>
      </c>
    </row>
    <row r="100" spans="1:6" x14ac:dyDescent="0.25">
      <c r="A100" s="165" t="s">
        <v>446</v>
      </c>
      <c r="B100" s="165" t="s">
        <v>16</v>
      </c>
      <c r="C100" s="165" t="s">
        <v>508</v>
      </c>
      <c r="D100" s="165" t="s">
        <v>508</v>
      </c>
      <c r="E100" s="165" t="s">
        <v>141</v>
      </c>
      <c r="F100" s="165">
        <v>130</v>
      </c>
    </row>
    <row r="101" spans="1:6" x14ac:dyDescent="0.25">
      <c r="A101" s="165" t="s">
        <v>985</v>
      </c>
      <c r="B101" s="165" t="s">
        <v>17</v>
      </c>
      <c r="C101" s="165" t="s">
        <v>508</v>
      </c>
      <c r="D101" s="165" t="s">
        <v>1072</v>
      </c>
      <c r="E101" s="165" t="s">
        <v>1068</v>
      </c>
      <c r="F101" s="165">
        <v>54</v>
      </c>
    </row>
    <row r="102" spans="1:6" x14ac:dyDescent="0.25">
      <c r="A102" s="146" t="s">
        <v>406</v>
      </c>
      <c r="B102" s="165" t="s">
        <v>13</v>
      </c>
      <c r="C102" s="165" t="s">
        <v>508</v>
      </c>
      <c r="D102" s="165" t="s">
        <v>1799</v>
      </c>
      <c r="E102" s="165" t="s">
        <v>1068</v>
      </c>
      <c r="F102" s="165">
        <v>52</v>
      </c>
    </row>
    <row r="103" spans="1:6" x14ac:dyDescent="0.25">
      <c r="A103" s="146" t="s">
        <v>399</v>
      </c>
      <c r="B103" s="165" t="s">
        <v>30</v>
      </c>
      <c r="C103" s="165" t="s">
        <v>389</v>
      </c>
      <c r="D103" s="165" t="s">
        <v>1077</v>
      </c>
      <c r="E103" s="165" t="s">
        <v>1068</v>
      </c>
      <c r="F103" s="165">
        <v>51</v>
      </c>
    </row>
    <row r="104" spans="1:6" x14ac:dyDescent="0.25">
      <c r="A104" s="165" t="s">
        <v>1043</v>
      </c>
      <c r="B104" s="165" t="s">
        <v>21</v>
      </c>
      <c r="C104" s="165" t="s">
        <v>508</v>
      </c>
      <c r="D104" s="165" t="s">
        <v>1072</v>
      </c>
      <c r="E104" s="165" t="s">
        <v>141</v>
      </c>
      <c r="F104" s="165">
        <v>136</v>
      </c>
    </row>
    <row r="105" spans="1:6" x14ac:dyDescent="0.25">
      <c r="A105" s="165" t="s">
        <v>1052</v>
      </c>
      <c r="B105" s="165" t="s">
        <v>21</v>
      </c>
      <c r="C105" s="165" t="s">
        <v>508</v>
      </c>
      <c r="D105" s="165" t="s">
        <v>1072</v>
      </c>
      <c r="E105" s="165" t="s">
        <v>5</v>
      </c>
      <c r="F105" s="165">
        <v>76</v>
      </c>
    </row>
    <row r="106" spans="1:6" x14ac:dyDescent="0.25">
      <c r="A106" s="165" t="s">
        <v>971</v>
      </c>
      <c r="B106" s="165" t="s">
        <v>17</v>
      </c>
      <c r="C106" s="165" t="s">
        <v>508</v>
      </c>
      <c r="D106" s="165" t="s">
        <v>1073</v>
      </c>
      <c r="E106" s="165" t="s">
        <v>141</v>
      </c>
      <c r="F106" s="165">
        <v>131</v>
      </c>
    </row>
    <row r="107" spans="1:6" x14ac:dyDescent="0.25">
      <c r="A107" s="165" t="s">
        <v>447</v>
      </c>
      <c r="B107" s="165" t="s">
        <v>16</v>
      </c>
      <c r="C107" s="165" t="s">
        <v>444</v>
      </c>
      <c r="D107" s="165" t="s">
        <v>1076</v>
      </c>
      <c r="E107" s="165" t="s">
        <v>1068</v>
      </c>
      <c r="F107" s="165">
        <v>54</v>
      </c>
    </row>
    <row r="108" spans="1:6" x14ac:dyDescent="0.25">
      <c r="A108" s="165" t="s">
        <v>1017</v>
      </c>
      <c r="B108" s="165" t="s">
        <v>19</v>
      </c>
      <c r="C108" s="165" t="s">
        <v>508</v>
      </c>
      <c r="D108" s="165" t="s">
        <v>1081</v>
      </c>
      <c r="E108" s="165" t="s">
        <v>5</v>
      </c>
      <c r="F108" s="165">
        <v>73</v>
      </c>
    </row>
    <row r="109" spans="1:6" x14ac:dyDescent="0.25">
      <c r="A109" s="165" t="s">
        <v>996</v>
      </c>
      <c r="B109" s="165" t="s">
        <v>18</v>
      </c>
      <c r="C109" s="165" t="s">
        <v>508</v>
      </c>
      <c r="D109" s="165" t="s">
        <v>1798</v>
      </c>
      <c r="E109" s="165" t="s">
        <v>1067</v>
      </c>
      <c r="F109" s="165">
        <v>63</v>
      </c>
    </row>
    <row r="110" spans="1:6" x14ac:dyDescent="0.25">
      <c r="A110" s="165" t="s">
        <v>1050</v>
      </c>
      <c r="B110" s="165" t="s">
        <v>21</v>
      </c>
      <c r="C110" s="165" t="s">
        <v>1045</v>
      </c>
      <c r="D110" s="165" t="s">
        <v>1799</v>
      </c>
      <c r="E110" s="165" t="s">
        <v>1067</v>
      </c>
      <c r="F110" s="165">
        <v>67</v>
      </c>
    </row>
    <row r="111" spans="1:6" x14ac:dyDescent="0.25">
      <c r="A111" s="165" t="s">
        <v>1026</v>
      </c>
      <c r="B111" s="165" t="s">
        <v>20</v>
      </c>
      <c r="C111" s="165" t="s">
        <v>508</v>
      </c>
      <c r="D111" s="165" t="s">
        <v>1799</v>
      </c>
      <c r="E111" s="165" t="s">
        <v>141</v>
      </c>
      <c r="F111" s="165">
        <v>135</v>
      </c>
    </row>
    <row r="112" spans="1:6" x14ac:dyDescent="0.25">
      <c r="A112" s="146" t="s">
        <v>407</v>
      </c>
      <c r="B112" s="165" t="s">
        <v>13</v>
      </c>
      <c r="C112" s="165" t="s">
        <v>508</v>
      </c>
      <c r="D112" s="165" t="s">
        <v>1799</v>
      </c>
      <c r="E112" s="165" t="s">
        <v>5</v>
      </c>
      <c r="F112" s="165">
        <v>63</v>
      </c>
    </row>
    <row r="113" spans="1:6" x14ac:dyDescent="0.25">
      <c r="A113" s="165" t="s">
        <v>1005</v>
      </c>
      <c r="B113" s="165" t="s">
        <v>19</v>
      </c>
      <c r="C113" s="165" t="s">
        <v>508</v>
      </c>
      <c r="D113" s="165" t="s">
        <v>1799</v>
      </c>
      <c r="E113" s="165" t="s">
        <v>141</v>
      </c>
      <c r="F113" s="165">
        <v>134</v>
      </c>
    </row>
    <row r="114" spans="1:6" x14ac:dyDescent="0.25">
      <c r="A114" s="146" t="s">
        <v>408</v>
      </c>
      <c r="B114" s="165" t="s">
        <v>13</v>
      </c>
      <c r="C114" s="165" t="s">
        <v>508</v>
      </c>
      <c r="D114" s="165" t="s">
        <v>1080</v>
      </c>
      <c r="E114" s="165" t="s">
        <v>5</v>
      </c>
      <c r="F114" s="165">
        <v>63</v>
      </c>
    </row>
    <row r="115" spans="1:6" x14ac:dyDescent="0.25">
      <c r="A115" s="165" t="s">
        <v>448</v>
      </c>
      <c r="B115" s="165" t="s">
        <v>16</v>
      </c>
      <c r="C115" s="165" t="s">
        <v>508</v>
      </c>
      <c r="D115" s="165" t="s">
        <v>1085</v>
      </c>
      <c r="E115" s="165" t="s">
        <v>1067</v>
      </c>
      <c r="F115" s="165">
        <v>59</v>
      </c>
    </row>
    <row r="116" spans="1:6" x14ac:dyDescent="0.25">
      <c r="A116" s="165" t="s">
        <v>449</v>
      </c>
      <c r="B116" s="165" t="s">
        <v>16</v>
      </c>
      <c r="C116" s="165" t="s">
        <v>444</v>
      </c>
      <c r="D116" s="165" t="s">
        <v>1072</v>
      </c>
      <c r="E116" s="165" t="s">
        <v>1067</v>
      </c>
      <c r="F116" s="165">
        <v>60</v>
      </c>
    </row>
    <row r="117" spans="1:6" x14ac:dyDescent="0.25">
      <c r="A117" s="165" t="s">
        <v>1006</v>
      </c>
      <c r="B117" s="165" t="s">
        <v>19</v>
      </c>
      <c r="C117" s="165" t="s">
        <v>508</v>
      </c>
      <c r="D117" s="165" t="s">
        <v>1799</v>
      </c>
      <c r="E117" s="165" t="s">
        <v>141</v>
      </c>
      <c r="F117" s="165">
        <v>134</v>
      </c>
    </row>
    <row r="118" spans="1:6" x14ac:dyDescent="0.25">
      <c r="A118" s="165" t="s">
        <v>1053</v>
      </c>
      <c r="B118" s="165" t="s">
        <v>21</v>
      </c>
      <c r="C118" s="165" t="s">
        <v>508</v>
      </c>
      <c r="D118" s="165" t="s">
        <v>1799</v>
      </c>
      <c r="E118" s="165" t="s">
        <v>5</v>
      </c>
      <c r="F118" s="165">
        <v>76</v>
      </c>
    </row>
    <row r="119" spans="1:6" x14ac:dyDescent="0.25">
      <c r="A119" s="165" t="s">
        <v>1044</v>
      </c>
      <c r="B119" s="165" t="s">
        <v>21</v>
      </c>
      <c r="C119" s="165" t="s">
        <v>508</v>
      </c>
      <c r="D119" s="165" t="s">
        <v>1799</v>
      </c>
      <c r="E119" s="165" t="s">
        <v>141</v>
      </c>
      <c r="F119" s="165">
        <v>136</v>
      </c>
    </row>
    <row r="120" spans="1:6" x14ac:dyDescent="0.25">
      <c r="A120" s="165" t="s">
        <v>426</v>
      </c>
      <c r="B120" s="165" t="s">
        <v>14</v>
      </c>
      <c r="C120" s="165" t="s">
        <v>508</v>
      </c>
      <c r="D120" s="165" t="s">
        <v>1077</v>
      </c>
      <c r="E120" s="165" t="s">
        <v>1068</v>
      </c>
      <c r="F120" s="165">
        <v>53</v>
      </c>
    </row>
    <row r="121" spans="1:6" x14ac:dyDescent="0.25">
      <c r="A121" s="165" t="s">
        <v>1061</v>
      </c>
      <c r="B121" s="165" t="s">
        <v>14</v>
      </c>
      <c r="C121" s="165" t="s">
        <v>508</v>
      </c>
      <c r="D121" s="165" t="s">
        <v>508</v>
      </c>
      <c r="E121" s="165" t="s">
        <v>364</v>
      </c>
      <c r="F121" s="165">
        <v>32</v>
      </c>
    </row>
    <row r="122" spans="1:6" x14ac:dyDescent="0.25">
      <c r="A122" s="165" t="s">
        <v>1018</v>
      </c>
      <c r="B122" s="165" t="s">
        <v>19</v>
      </c>
      <c r="C122" s="165" t="s">
        <v>1010</v>
      </c>
      <c r="D122" s="165" t="s">
        <v>1078</v>
      </c>
      <c r="E122" s="165" t="s">
        <v>5</v>
      </c>
      <c r="F122" s="165">
        <v>74</v>
      </c>
    </row>
    <row r="123" spans="1:6" x14ac:dyDescent="0.25">
      <c r="A123" s="165" t="s">
        <v>1021</v>
      </c>
      <c r="B123" s="165" t="s">
        <v>19</v>
      </c>
      <c r="C123" s="165" t="s">
        <v>508</v>
      </c>
      <c r="D123" s="165" t="s">
        <v>1072</v>
      </c>
      <c r="E123" s="165" t="s">
        <v>1068</v>
      </c>
      <c r="F123" s="165">
        <v>56</v>
      </c>
    </row>
    <row r="124" spans="1:6" x14ac:dyDescent="0.25">
      <c r="A124" s="165" t="s">
        <v>1007</v>
      </c>
      <c r="B124" s="165" t="s">
        <v>19</v>
      </c>
      <c r="C124" s="165" t="s">
        <v>508</v>
      </c>
      <c r="D124" s="165" t="s">
        <v>1799</v>
      </c>
      <c r="E124" s="165" t="s">
        <v>141</v>
      </c>
      <c r="F124" s="165">
        <v>134</v>
      </c>
    </row>
    <row r="125" spans="1:6" x14ac:dyDescent="0.25">
      <c r="A125" s="165" t="s">
        <v>427</v>
      </c>
      <c r="B125" s="165" t="s">
        <v>14</v>
      </c>
      <c r="C125" s="165" t="s">
        <v>428</v>
      </c>
      <c r="D125" s="165" t="s">
        <v>1072</v>
      </c>
      <c r="E125" s="165" t="s">
        <v>1067</v>
      </c>
      <c r="F125" s="165">
        <v>58</v>
      </c>
    </row>
    <row r="126" spans="1:6" x14ac:dyDescent="0.25">
      <c r="A126" s="165" t="s">
        <v>986</v>
      </c>
      <c r="B126" s="165" t="s">
        <v>17</v>
      </c>
      <c r="C126" s="165" t="s">
        <v>971</v>
      </c>
      <c r="D126" s="165" t="s">
        <v>1072</v>
      </c>
      <c r="E126" s="165" t="s">
        <v>1068</v>
      </c>
      <c r="F126" s="165">
        <v>55</v>
      </c>
    </row>
    <row r="127" spans="1:6" x14ac:dyDescent="0.25">
      <c r="A127" s="146" t="s">
        <v>409</v>
      </c>
      <c r="B127" s="165" t="s">
        <v>13</v>
      </c>
      <c r="C127" s="165" t="s">
        <v>508</v>
      </c>
      <c r="D127" s="165" t="s">
        <v>1072</v>
      </c>
      <c r="E127" s="165" t="s">
        <v>1067</v>
      </c>
      <c r="F127" s="165">
        <v>56</v>
      </c>
    </row>
    <row r="128" spans="1:6" x14ac:dyDescent="0.25">
      <c r="A128" s="146" t="s">
        <v>410</v>
      </c>
      <c r="B128" s="165" t="s">
        <v>13</v>
      </c>
      <c r="C128" s="165" t="s">
        <v>508</v>
      </c>
      <c r="D128" s="165" t="s">
        <v>1072</v>
      </c>
      <c r="E128" s="165" t="s">
        <v>5</v>
      </c>
      <c r="F128" s="165">
        <v>64</v>
      </c>
    </row>
    <row r="129" spans="1:6" x14ac:dyDescent="0.25">
      <c r="A129" s="165" t="s">
        <v>978</v>
      </c>
      <c r="B129" s="165" t="s">
        <v>17</v>
      </c>
      <c r="C129" s="165" t="s">
        <v>508</v>
      </c>
      <c r="D129" s="165" t="s">
        <v>1072</v>
      </c>
      <c r="E129" s="165" t="s">
        <v>1067</v>
      </c>
      <c r="F129" s="165">
        <v>61</v>
      </c>
    </row>
    <row r="130" spans="1:6" x14ac:dyDescent="0.25">
      <c r="A130" s="165" t="s">
        <v>1054</v>
      </c>
      <c r="B130" s="165" t="s">
        <v>21</v>
      </c>
      <c r="C130" s="165" t="s">
        <v>1052</v>
      </c>
      <c r="D130" s="165" t="s">
        <v>1072</v>
      </c>
      <c r="E130" s="165" t="s">
        <v>5</v>
      </c>
      <c r="F130" s="165">
        <v>76</v>
      </c>
    </row>
    <row r="131" spans="1:6" x14ac:dyDescent="0.25">
      <c r="A131" s="165" t="s">
        <v>1022</v>
      </c>
      <c r="B131" s="165" t="s">
        <v>19</v>
      </c>
      <c r="C131" s="165" t="s">
        <v>508</v>
      </c>
      <c r="D131" s="165" t="s">
        <v>1072</v>
      </c>
      <c r="E131" s="165" t="s">
        <v>1068</v>
      </c>
      <c r="F131" s="165">
        <v>56</v>
      </c>
    </row>
    <row r="132" spans="1:6" x14ac:dyDescent="0.25">
      <c r="A132" s="165" t="s">
        <v>982</v>
      </c>
      <c r="B132" s="165" t="s">
        <v>17</v>
      </c>
      <c r="C132" s="165" t="s">
        <v>508</v>
      </c>
      <c r="D132" s="165" t="s">
        <v>1072</v>
      </c>
      <c r="E132" s="165" t="s">
        <v>5</v>
      </c>
      <c r="F132" s="165">
        <v>69</v>
      </c>
    </row>
    <row r="133" spans="1:6" x14ac:dyDescent="0.25">
      <c r="A133" s="165" t="s">
        <v>428</v>
      </c>
      <c r="B133" s="165" t="s">
        <v>14</v>
      </c>
      <c r="C133" s="165" t="s">
        <v>508</v>
      </c>
      <c r="D133" s="165" t="s">
        <v>1082</v>
      </c>
      <c r="E133" s="165" t="s">
        <v>141</v>
      </c>
      <c r="F133" s="165">
        <v>129</v>
      </c>
    </row>
    <row r="134" spans="1:6" x14ac:dyDescent="0.25">
      <c r="A134" s="165" t="s">
        <v>1019</v>
      </c>
      <c r="B134" s="165" t="s">
        <v>19</v>
      </c>
      <c r="C134" s="165" t="s">
        <v>508</v>
      </c>
      <c r="D134" s="165" t="s">
        <v>1799</v>
      </c>
      <c r="E134" s="165" t="s">
        <v>5</v>
      </c>
      <c r="F134" s="165">
        <v>74</v>
      </c>
    </row>
    <row r="135" spans="1:6" x14ac:dyDescent="0.25">
      <c r="A135" s="165" t="s">
        <v>991</v>
      </c>
      <c r="B135" s="165" t="s">
        <v>18</v>
      </c>
      <c r="C135" s="165" t="s">
        <v>508</v>
      </c>
      <c r="D135" s="165" t="s">
        <v>1072</v>
      </c>
      <c r="E135" s="165" t="s">
        <v>141</v>
      </c>
      <c r="F135" s="165">
        <v>133</v>
      </c>
    </row>
    <row r="136" spans="1:6" x14ac:dyDescent="0.25">
      <c r="A136" s="146" t="s">
        <v>967</v>
      </c>
      <c r="B136" s="165" t="s">
        <v>30</v>
      </c>
      <c r="C136" s="165" t="s">
        <v>508</v>
      </c>
      <c r="D136" s="165" t="s">
        <v>1072</v>
      </c>
      <c r="E136" s="165" t="s">
        <v>1067</v>
      </c>
      <c r="F136" s="165">
        <v>55</v>
      </c>
    </row>
    <row r="137" spans="1:6" x14ac:dyDescent="0.25">
      <c r="A137" s="146" t="s">
        <v>411</v>
      </c>
      <c r="B137" s="165" t="s">
        <v>13</v>
      </c>
      <c r="C137" s="165" t="s">
        <v>413</v>
      </c>
      <c r="D137" s="165" t="s">
        <v>1081</v>
      </c>
      <c r="E137" s="165" t="s">
        <v>1068</v>
      </c>
      <c r="F137" s="165">
        <v>52</v>
      </c>
    </row>
    <row r="138" spans="1:6" x14ac:dyDescent="0.25">
      <c r="A138" s="165" t="s">
        <v>429</v>
      </c>
      <c r="B138" s="165" t="s">
        <v>14</v>
      </c>
      <c r="C138" s="165" t="s">
        <v>508</v>
      </c>
      <c r="D138" s="165" t="s">
        <v>1083</v>
      </c>
      <c r="E138" s="165" t="s">
        <v>1067</v>
      </c>
      <c r="F138" s="165">
        <v>59</v>
      </c>
    </row>
    <row r="139" spans="1:6" x14ac:dyDescent="0.25">
      <c r="A139" s="165" t="s">
        <v>1045</v>
      </c>
      <c r="B139" s="165" t="s">
        <v>21</v>
      </c>
      <c r="C139" s="165" t="s">
        <v>508</v>
      </c>
      <c r="D139" s="165" t="s">
        <v>1799</v>
      </c>
      <c r="E139" s="165" t="s">
        <v>141</v>
      </c>
      <c r="F139" s="165">
        <v>136</v>
      </c>
    </row>
    <row r="140" spans="1:6" x14ac:dyDescent="0.25">
      <c r="A140" s="165" t="s">
        <v>430</v>
      </c>
      <c r="B140" s="165" t="s">
        <v>14</v>
      </c>
      <c r="C140" s="165" t="s">
        <v>508</v>
      </c>
      <c r="D140" s="165" t="s">
        <v>1083</v>
      </c>
      <c r="E140" s="165" t="s">
        <v>141</v>
      </c>
      <c r="F140" s="165">
        <v>129</v>
      </c>
    </row>
    <row r="141" spans="1:6" x14ac:dyDescent="0.25">
      <c r="A141" s="165" t="s">
        <v>1012</v>
      </c>
      <c r="B141" s="165" t="s">
        <v>19</v>
      </c>
      <c r="C141" s="165" t="s">
        <v>508</v>
      </c>
      <c r="D141" s="165" t="s">
        <v>1799</v>
      </c>
      <c r="E141" s="165" t="s">
        <v>1067</v>
      </c>
      <c r="F141" s="165">
        <v>64</v>
      </c>
    </row>
    <row r="142" spans="1:6" x14ac:dyDescent="0.25">
      <c r="A142" s="165" t="s">
        <v>1035</v>
      </c>
      <c r="B142" s="165" t="s">
        <v>20</v>
      </c>
      <c r="C142" s="165" t="s">
        <v>508</v>
      </c>
      <c r="D142" s="165" t="s">
        <v>1799</v>
      </c>
      <c r="E142" s="165" t="s">
        <v>5</v>
      </c>
      <c r="F142" s="165">
        <v>75</v>
      </c>
    </row>
    <row r="143" spans="1:6" x14ac:dyDescent="0.25">
      <c r="A143" s="146" t="s">
        <v>412</v>
      </c>
      <c r="B143" s="165" t="s">
        <v>13</v>
      </c>
      <c r="C143" s="165" t="s">
        <v>107</v>
      </c>
      <c r="D143" s="165" t="s">
        <v>1078</v>
      </c>
      <c r="E143" s="165" t="s">
        <v>1067</v>
      </c>
      <c r="F143" s="165">
        <v>56</v>
      </c>
    </row>
    <row r="144" spans="1:6" x14ac:dyDescent="0.25">
      <c r="A144" s="165" t="s">
        <v>1031</v>
      </c>
      <c r="B144" s="165" t="s">
        <v>20</v>
      </c>
      <c r="C144" s="165" t="s">
        <v>1023</v>
      </c>
      <c r="D144" s="165" t="s">
        <v>1799</v>
      </c>
      <c r="E144" s="165" t="s">
        <v>1067</v>
      </c>
      <c r="F144" s="165">
        <v>65</v>
      </c>
    </row>
    <row r="145" spans="1:6" x14ac:dyDescent="0.25">
      <c r="A145" s="165" t="s">
        <v>972</v>
      </c>
      <c r="B145" s="165" t="s">
        <v>17</v>
      </c>
      <c r="C145" s="165" t="s">
        <v>508</v>
      </c>
      <c r="D145" s="165" t="s">
        <v>1799</v>
      </c>
      <c r="E145" s="165" t="s">
        <v>141</v>
      </c>
      <c r="F145" s="165">
        <v>132</v>
      </c>
    </row>
    <row r="146" spans="1:6" x14ac:dyDescent="0.25">
      <c r="A146" s="165" t="s">
        <v>1008</v>
      </c>
      <c r="B146" s="165" t="s">
        <v>19</v>
      </c>
      <c r="C146" s="165" t="s">
        <v>508</v>
      </c>
      <c r="D146" s="165" t="s">
        <v>1799</v>
      </c>
      <c r="E146" s="165" t="s">
        <v>141</v>
      </c>
      <c r="F146" s="165">
        <v>134</v>
      </c>
    </row>
    <row r="147" spans="1:6" x14ac:dyDescent="0.25">
      <c r="A147" s="165" t="s">
        <v>1013</v>
      </c>
      <c r="B147" s="165" t="s">
        <v>19</v>
      </c>
      <c r="C147" s="165" t="s">
        <v>1006</v>
      </c>
      <c r="D147" s="165" t="s">
        <v>1799</v>
      </c>
      <c r="E147" s="165" t="s">
        <v>1067</v>
      </c>
      <c r="F147" s="165">
        <v>64</v>
      </c>
    </row>
    <row r="148" spans="1:6" x14ac:dyDescent="0.25">
      <c r="A148" s="165" t="s">
        <v>1040</v>
      </c>
      <c r="B148" s="165" t="s">
        <v>20</v>
      </c>
      <c r="C148" s="165" t="s">
        <v>508</v>
      </c>
      <c r="D148" s="165" t="s">
        <v>1799</v>
      </c>
      <c r="E148" s="165" t="s">
        <v>1068</v>
      </c>
      <c r="F148" s="165">
        <v>59</v>
      </c>
    </row>
    <row r="149" spans="1:6" x14ac:dyDescent="0.25">
      <c r="A149" s="165" t="s">
        <v>999</v>
      </c>
      <c r="B149" s="165" t="s">
        <v>18</v>
      </c>
      <c r="C149" s="165" t="s">
        <v>997</v>
      </c>
      <c r="D149" s="165" t="s">
        <v>1072</v>
      </c>
      <c r="E149" s="165" t="s">
        <v>5</v>
      </c>
      <c r="F149" s="165">
        <v>72</v>
      </c>
    </row>
    <row r="150" spans="1:6" x14ac:dyDescent="0.25">
      <c r="A150" s="165" t="s">
        <v>973</v>
      </c>
      <c r="B150" s="165" t="s">
        <v>17</v>
      </c>
      <c r="C150" s="165" t="s">
        <v>508</v>
      </c>
      <c r="D150" s="165" t="s">
        <v>1799</v>
      </c>
      <c r="E150" s="165" t="s">
        <v>141</v>
      </c>
      <c r="F150" s="165">
        <v>132</v>
      </c>
    </row>
    <row r="151" spans="1:6" x14ac:dyDescent="0.25">
      <c r="A151" s="165" t="s">
        <v>1055</v>
      </c>
      <c r="B151" s="165" t="s">
        <v>21</v>
      </c>
      <c r="C151" s="165" t="s">
        <v>1048</v>
      </c>
      <c r="D151" s="165" t="s">
        <v>1076</v>
      </c>
      <c r="E151" s="165" t="s">
        <v>5</v>
      </c>
      <c r="F151" s="165">
        <v>76</v>
      </c>
    </row>
    <row r="152" spans="1:6" x14ac:dyDescent="0.25">
      <c r="A152" s="165" t="s">
        <v>1027</v>
      </c>
      <c r="B152" s="165" t="s">
        <v>20</v>
      </c>
      <c r="C152" s="165" t="s">
        <v>508</v>
      </c>
      <c r="D152" s="165" t="s">
        <v>1799</v>
      </c>
      <c r="E152" s="165" t="s">
        <v>141</v>
      </c>
      <c r="F152" s="165">
        <v>136</v>
      </c>
    </row>
    <row r="153" spans="1:6" x14ac:dyDescent="0.25">
      <c r="A153" s="165" t="s">
        <v>1036</v>
      </c>
      <c r="B153" s="165" t="s">
        <v>20</v>
      </c>
      <c r="C153" s="165" t="s">
        <v>508</v>
      </c>
      <c r="D153" s="165" t="s">
        <v>1800</v>
      </c>
      <c r="E153" s="165" t="s">
        <v>5</v>
      </c>
      <c r="F153" s="165">
        <v>75</v>
      </c>
    </row>
    <row r="154" spans="1:6" x14ac:dyDescent="0.25">
      <c r="A154" s="165" t="s">
        <v>1014</v>
      </c>
      <c r="B154" s="165" t="s">
        <v>19</v>
      </c>
      <c r="C154" s="165" t="s">
        <v>508</v>
      </c>
      <c r="D154" s="165" t="s">
        <v>1799</v>
      </c>
      <c r="E154" s="165" t="s">
        <v>1067</v>
      </c>
      <c r="F154" s="165">
        <v>64</v>
      </c>
    </row>
    <row r="155" spans="1:6" x14ac:dyDescent="0.25">
      <c r="A155" s="165" t="s">
        <v>431</v>
      </c>
      <c r="B155" s="165" t="s">
        <v>14</v>
      </c>
      <c r="C155" s="165" t="s">
        <v>419</v>
      </c>
      <c r="D155" s="165" t="s">
        <v>1799</v>
      </c>
      <c r="E155" s="165" t="s">
        <v>5</v>
      </c>
      <c r="F155" s="165">
        <v>66</v>
      </c>
    </row>
    <row r="156" spans="1:6" x14ac:dyDescent="0.25">
      <c r="A156" s="146" t="s">
        <v>400</v>
      </c>
      <c r="B156" s="165" t="s">
        <v>30</v>
      </c>
      <c r="C156" s="165" t="s">
        <v>508</v>
      </c>
      <c r="D156" s="165" t="s">
        <v>1799</v>
      </c>
      <c r="E156" s="165" t="s">
        <v>1068</v>
      </c>
      <c r="F156" s="165">
        <v>52</v>
      </c>
    </row>
    <row r="157" spans="1:6" x14ac:dyDescent="0.25">
      <c r="A157" s="165" t="s">
        <v>983</v>
      </c>
      <c r="B157" s="165" t="s">
        <v>17</v>
      </c>
      <c r="C157" s="165" t="s">
        <v>978</v>
      </c>
      <c r="D157" s="165" t="s">
        <v>1076</v>
      </c>
      <c r="E157" s="165" t="s">
        <v>5</v>
      </c>
      <c r="F157" s="165">
        <v>70</v>
      </c>
    </row>
    <row r="158" spans="1:6" x14ac:dyDescent="0.25">
      <c r="A158" s="146" t="s">
        <v>413</v>
      </c>
      <c r="B158" s="165" t="s">
        <v>13</v>
      </c>
      <c r="C158" s="165" t="s">
        <v>508</v>
      </c>
      <c r="D158" s="165" t="s">
        <v>1799</v>
      </c>
      <c r="E158" s="165" t="s">
        <v>141</v>
      </c>
      <c r="F158" s="165">
        <v>128</v>
      </c>
    </row>
    <row r="159" spans="1:6" x14ac:dyDescent="0.25">
      <c r="A159" s="165" t="s">
        <v>1000</v>
      </c>
      <c r="B159" s="165" t="s">
        <v>18</v>
      </c>
      <c r="C159" s="165" t="s">
        <v>997</v>
      </c>
      <c r="D159" s="165" t="s">
        <v>1074</v>
      </c>
      <c r="E159" s="165" t="s">
        <v>5</v>
      </c>
      <c r="F159" s="165">
        <v>72</v>
      </c>
    </row>
    <row r="160" spans="1:6" x14ac:dyDescent="0.25">
      <c r="A160" s="165" t="s">
        <v>432</v>
      </c>
      <c r="B160" s="165" t="s">
        <v>14</v>
      </c>
      <c r="C160" s="165" t="s">
        <v>508</v>
      </c>
      <c r="D160" s="165" t="s">
        <v>1799</v>
      </c>
      <c r="E160" s="165" t="s">
        <v>1068</v>
      </c>
      <c r="F160" s="165">
        <v>53</v>
      </c>
    </row>
    <row r="161" spans="1:6" x14ac:dyDescent="0.25">
      <c r="A161" s="165" t="s">
        <v>1009</v>
      </c>
      <c r="B161" s="165" t="s">
        <v>19</v>
      </c>
      <c r="C161" s="165" t="s">
        <v>508</v>
      </c>
      <c r="D161" s="165" t="s">
        <v>1799</v>
      </c>
      <c r="E161" s="165" t="s">
        <v>141</v>
      </c>
      <c r="F161" s="165">
        <v>134</v>
      </c>
    </row>
    <row r="162" spans="1:6" x14ac:dyDescent="0.25">
      <c r="A162" s="165" t="s">
        <v>450</v>
      </c>
      <c r="B162" s="165" t="s">
        <v>16</v>
      </c>
      <c r="C162" s="165" t="s">
        <v>508</v>
      </c>
      <c r="D162" s="165" t="s">
        <v>1072</v>
      </c>
      <c r="E162" s="165" t="s">
        <v>1067</v>
      </c>
      <c r="F162" s="165">
        <v>60</v>
      </c>
    </row>
    <row r="163" spans="1:6" x14ac:dyDescent="0.25">
      <c r="A163" s="146" t="s">
        <v>414</v>
      </c>
      <c r="B163" s="165" t="s">
        <v>13</v>
      </c>
      <c r="C163" s="165" t="s">
        <v>508</v>
      </c>
      <c r="D163" s="165" t="s">
        <v>1078</v>
      </c>
      <c r="E163" s="165" t="s">
        <v>141</v>
      </c>
      <c r="F163" s="165">
        <v>128</v>
      </c>
    </row>
    <row r="164" spans="1:6" x14ac:dyDescent="0.25">
      <c r="A164" s="165" t="s">
        <v>1001</v>
      </c>
      <c r="B164" s="165" t="s">
        <v>18</v>
      </c>
      <c r="C164" s="165" t="s">
        <v>1000</v>
      </c>
      <c r="D164" s="165" t="s">
        <v>1072</v>
      </c>
      <c r="E164" s="165" t="s">
        <v>5</v>
      </c>
      <c r="F164" s="165">
        <v>72</v>
      </c>
    </row>
    <row r="165" spans="1:6" x14ac:dyDescent="0.25">
      <c r="A165" s="146" t="s">
        <v>111</v>
      </c>
      <c r="B165" s="165" t="s">
        <v>30</v>
      </c>
      <c r="C165" s="165" t="s">
        <v>508</v>
      </c>
      <c r="D165" s="165" t="s">
        <v>1072</v>
      </c>
      <c r="E165" s="165" t="s">
        <v>141</v>
      </c>
      <c r="F165" s="165">
        <v>127</v>
      </c>
    </row>
    <row r="166" spans="1:6" x14ac:dyDescent="0.25">
      <c r="A166" s="165" t="s">
        <v>1004</v>
      </c>
      <c r="B166" s="165" t="s">
        <v>18</v>
      </c>
      <c r="C166" s="165" t="s">
        <v>508</v>
      </c>
      <c r="D166" s="165" t="s">
        <v>1077</v>
      </c>
      <c r="E166" s="165" t="s">
        <v>1068</v>
      </c>
      <c r="F166" s="165">
        <v>56</v>
      </c>
    </row>
    <row r="167" spans="1:6" x14ac:dyDescent="0.25">
      <c r="A167" s="165" t="s">
        <v>1037</v>
      </c>
      <c r="B167" s="165" t="s">
        <v>20</v>
      </c>
      <c r="C167" s="165" t="s">
        <v>1024</v>
      </c>
      <c r="D167" s="165" t="s">
        <v>508</v>
      </c>
      <c r="E167" s="165" t="s">
        <v>5</v>
      </c>
      <c r="F167" s="165">
        <v>75</v>
      </c>
    </row>
    <row r="168" spans="1:6" x14ac:dyDescent="0.25">
      <c r="A168" s="165" t="s">
        <v>1062</v>
      </c>
      <c r="B168" s="165" t="s">
        <v>14</v>
      </c>
      <c r="C168" s="165" t="s">
        <v>508</v>
      </c>
      <c r="D168" s="165" t="s">
        <v>1072</v>
      </c>
      <c r="E168" s="165" t="s">
        <v>364</v>
      </c>
      <c r="F168" s="165">
        <v>33</v>
      </c>
    </row>
    <row r="169" spans="1:6" x14ac:dyDescent="0.25">
      <c r="A169" s="146" t="s">
        <v>415</v>
      </c>
      <c r="B169" s="165" t="s">
        <v>13</v>
      </c>
      <c r="C169" s="165" t="s">
        <v>414</v>
      </c>
      <c r="D169" s="165" t="s">
        <v>1078</v>
      </c>
      <c r="E169" s="165" t="s">
        <v>1067</v>
      </c>
      <c r="F169" s="165">
        <v>57</v>
      </c>
    </row>
    <row r="170" spans="1:6" x14ac:dyDescent="0.25">
      <c r="A170" s="165" t="s">
        <v>1032</v>
      </c>
      <c r="B170" s="165" t="s">
        <v>20</v>
      </c>
      <c r="C170" s="165" t="s">
        <v>508</v>
      </c>
      <c r="D170" s="165" t="s">
        <v>1799</v>
      </c>
      <c r="E170" s="165" t="s">
        <v>1067</v>
      </c>
      <c r="F170" s="165">
        <v>65</v>
      </c>
    </row>
  </sheetData>
  <sheetProtection password="E9C2" sheet="1" objects="1" scenarios="1"/>
  <sortState ref="A2:F170">
    <sortCondition ref="A2:A170"/>
  </sortState>
  <pageMargins left="0.7" right="0.7" top="0.75" bottom="0.75" header="0.3" footer="0.3"/>
  <pageSetup scale="66" orientation="portrait" r:id="rId1"/>
  <colBreaks count="1" manualBreakCount="1">
    <brk id="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sheetPr>
  <dimension ref="A1:V264"/>
  <sheetViews>
    <sheetView view="pageBreakPreview" topLeftCell="R1" zoomScale="60" zoomScaleNormal="100" workbookViewId="0">
      <selection activeCell="Q1" sqref="A1:Q1048576"/>
    </sheetView>
  </sheetViews>
  <sheetFormatPr defaultRowHeight="15" x14ac:dyDescent="0.25"/>
  <cols>
    <col min="1" max="1" width="33.42578125" style="2" hidden="1" customWidth="1"/>
    <col min="2" max="2" width="37" style="2" hidden="1" customWidth="1"/>
    <col min="3" max="3" width="36.140625" style="2" hidden="1" customWidth="1"/>
    <col min="4" max="4" width="45.140625" style="2" hidden="1" customWidth="1"/>
    <col min="5" max="5" width="35.140625" style="2" hidden="1" customWidth="1"/>
    <col min="6" max="6" width="32.5703125" style="2" hidden="1" customWidth="1"/>
    <col min="7" max="7" width="39.7109375" style="38" hidden="1" customWidth="1"/>
    <col min="8" max="8" width="18.42578125" style="28" hidden="1" customWidth="1"/>
    <col min="9" max="9" width="14.42578125" style="28" hidden="1" customWidth="1"/>
    <col min="10" max="10" width="20.5703125" style="28" hidden="1" customWidth="1"/>
    <col min="11" max="16" width="9.140625" style="28" hidden="1" customWidth="1"/>
    <col min="17" max="17" width="0" style="28" hidden="1" customWidth="1"/>
    <col min="18" max="20" width="9.140625" style="28"/>
    <col min="21" max="21" width="45.140625" style="73" bestFit="1" customWidth="1"/>
    <col min="22" max="22" width="16.5703125" style="38" bestFit="1" customWidth="1"/>
    <col min="23" max="16384" width="9.140625" style="28"/>
  </cols>
  <sheetData>
    <row r="1" spans="1:22" x14ac:dyDescent="0.25">
      <c r="A1" s="5" t="s">
        <v>334</v>
      </c>
      <c r="B1" s="143" t="s">
        <v>903</v>
      </c>
      <c r="C1" s="148" t="s">
        <v>904</v>
      </c>
      <c r="D1" s="143" t="s">
        <v>358</v>
      </c>
      <c r="E1" s="179" t="s">
        <v>11</v>
      </c>
      <c r="F1" s="116" t="s">
        <v>992</v>
      </c>
      <c r="G1" s="94" t="s">
        <v>451</v>
      </c>
      <c r="H1" s="143" t="s">
        <v>522</v>
      </c>
      <c r="I1" s="144" t="s">
        <v>905</v>
      </c>
      <c r="J1" s="148" t="s">
        <v>906</v>
      </c>
      <c r="K1" s="40"/>
      <c r="N1" s="28" t="s">
        <v>1801</v>
      </c>
      <c r="O1" s="28" t="s">
        <v>66</v>
      </c>
      <c r="P1" s="28" t="s">
        <v>541</v>
      </c>
      <c r="U1" s="28"/>
      <c r="V1" s="28"/>
    </row>
    <row r="2" spans="1:22" ht="15.75" x14ac:dyDescent="0.25">
      <c r="A2" s="9" t="s">
        <v>59</v>
      </c>
      <c r="B2" s="181">
        <v>1</v>
      </c>
      <c r="C2" s="149">
        <v>40</v>
      </c>
      <c r="D2" s="12">
        <v>0</v>
      </c>
      <c r="E2" s="89">
        <v>0</v>
      </c>
      <c r="F2" s="116" t="s">
        <v>987</v>
      </c>
      <c r="G2" s="95" t="s">
        <v>59</v>
      </c>
      <c r="H2" s="41">
        <v>0</v>
      </c>
      <c r="I2" s="42">
        <v>0</v>
      </c>
      <c r="J2" s="43">
        <v>1</v>
      </c>
      <c r="K2" s="44"/>
      <c r="N2" s="28" t="s">
        <v>18</v>
      </c>
      <c r="O2" s="28">
        <f>CharacterSheet!N8</f>
        <v>0</v>
      </c>
      <c r="P2" s="28">
        <f>CharacterSheet!O8</f>
        <v>0</v>
      </c>
      <c r="U2" s="28"/>
      <c r="V2" s="28"/>
    </row>
    <row r="3" spans="1:22" ht="15.75" x14ac:dyDescent="0.25">
      <c r="A3" s="9" t="s">
        <v>335</v>
      </c>
      <c r="B3" s="181">
        <v>2</v>
      </c>
      <c r="C3" s="149">
        <v>80</v>
      </c>
      <c r="D3" s="12">
        <v>1</v>
      </c>
      <c r="E3" s="89">
        <v>1</v>
      </c>
      <c r="F3" s="116" t="s">
        <v>988</v>
      </c>
      <c r="G3" s="96" t="s">
        <v>365</v>
      </c>
      <c r="H3" s="181">
        <v>1</v>
      </c>
      <c r="I3" s="146">
        <v>500</v>
      </c>
      <c r="J3" s="149">
        <v>2</v>
      </c>
      <c r="K3" s="44"/>
      <c r="N3" s="28" t="s">
        <v>16</v>
      </c>
      <c r="O3" s="28">
        <f>CharacterSheet!N6</f>
        <v>0</v>
      </c>
      <c r="P3" s="28">
        <f>CharacterSheet!O6</f>
        <v>0</v>
      </c>
      <c r="U3" s="28"/>
      <c r="V3" s="28"/>
    </row>
    <row r="4" spans="1:22" ht="15.75" x14ac:dyDescent="0.25">
      <c r="A4" s="9" t="s">
        <v>336</v>
      </c>
      <c r="B4" s="181">
        <v>3</v>
      </c>
      <c r="C4" s="149">
        <v>220</v>
      </c>
      <c r="D4" s="12">
        <v>2</v>
      </c>
      <c r="E4" s="89">
        <f t="shared" ref="E4:E12" si="0">E3+D3</f>
        <v>2</v>
      </c>
      <c r="F4" s="116" t="s">
        <v>993</v>
      </c>
      <c r="G4" s="95" t="s">
        <v>366</v>
      </c>
      <c r="H4" s="181">
        <v>2</v>
      </c>
      <c r="I4" s="146">
        <v>1000</v>
      </c>
      <c r="J4" s="149">
        <v>4</v>
      </c>
      <c r="K4" s="44"/>
      <c r="N4" s="28" t="s">
        <v>13</v>
      </c>
      <c r="O4" s="28">
        <f>CharacterSheet!F7</f>
        <v>0</v>
      </c>
      <c r="P4" s="28">
        <f>CharacterSheet!G7</f>
        <v>0</v>
      </c>
      <c r="U4" s="28"/>
      <c r="V4" s="28"/>
    </row>
    <row r="5" spans="1:22" ht="15.75" x14ac:dyDescent="0.25">
      <c r="A5" s="9" t="s">
        <v>337</v>
      </c>
      <c r="B5" s="181">
        <v>4</v>
      </c>
      <c r="C5" s="149">
        <v>350</v>
      </c>
      <c r="D5" s="12">
        <v>3</v>
      </c>
      <c r="E5" s="89">
        <f t="shared" si="0"/>
        <v>4</v>
      </c>
      <c r="F5" s="116" t="s">
        <v>997</v>
      </c>
      <c r="G5" s="95" t="s">
        <v>367</v>
      </c>
      <c r="H5" s="181">
        <v>3</v>
      </c>
      <c r="I5" s="146">
        <v>2000</v>
      </c>
      <c r="J5" s="149">
        <v>8</v>
      </c>
      <c r="N5" s="28" t="s">
        <v>20</v>
      </c>
      <c r="O5" s="28">
        <f>CharacterSheet!V7</f>
        <v>0</v>
      </c>
      <c r="P5" s="28">
        <f>CharacterSheet!W7</f>
        <v>0</v>
      </c>
      <c r="U5" s="28"/>
      <c r="V5" s="28"/>
    </row>
    <row r="6" spans="1:22" ht="15.75" x14ac:dyDescent="0.25">
      <c r="A6" s="9" t="s">
        <v>338</v>
      </c>
      <c r="B6" s="181">
        <v>5</v>
      </c>
      <c r="C6" s="149">
        <v>450</v>
      </c>
      <c r="D6" s="12">
        <v>4</v>
      </c>
      <c r="E6" s="89">
        <f t="shared" si="0"/>
        <v>7</v>
      </c>
      <c r="F6" s="116" t="s">
        <v>1002</v>
      </c>
      <c r="G6" s="95" t="s">
        <v>368</v>
      </c>
      <c r="H6" s="181">
        <v>4</v>
      </c>
      <c r="I6" s="146">
        <v>10000</v>
      </c>
      <c r="J6" s="149">
        <v>40</v>
      </c>
      <c r="N6" s="28" t="s">
        <v>17</v>
      </c>
      <c r="O6" s="28">
        <f>CharacterSheet!N7</f>
        <v>0</v>
      </c>
      <c r="P6" s="28">
        <f>CharacterSheet!O7</f>
        <v>0</v>
      </c>
      <c r="U6" s="28"/>
      <c r="V6" s="28"/>
    </row>
    <row r="7" spans="1:22" ht="15.75" x14ac:dyDescent="0.25">
      <c r="A7" s="9" t="s">
        <v>339</v>
      </c>
      <c r="B7" s="181">
        <v>6</v>
      </c>
      <c r="C7" s="149">
        <v>550</v>
      </c>
      <c r="D7" s="12">
        <v>5</v>
      </c>
      <c r="E7" s="89">
        <f t="shared" si="0"/>
        <v>11</v>
      </c>
      <c r="F7" s="116" t="s">
        <v>998</v>
      </c>
      <c r="G7" s="95" t="s">
        <v>369</v>
      </c>
      <c r="H7" s="181">
        <v>5</v>
      </c>
      <c r="I7" s="146">
        <v>50000</v>
      </c>
      <c r="J7" s="149">
        <v>200</v>
      </c>
      <c r="N7" s="28" t="s">
        <v>19</v>
      </c>
      <c r="O7" s="28">
        <f>CharacterSheet!V6</f>
        <v>0</v>
      </c>
      <c r="P7" s="28">
        <f>CharacterSheet!W6</f>
        <v>0</v>
      </c>
      <c r="U7" s="28"/>
      <c r="V7" s="28"/>
    </row>
    <row r="8" spans="1:22" ht="15.75" x14ac:dyDescent="0.25">
      <c r="A8" s="9" t="s">
        <v>340</v>
      </c>
      <c r="B8" s="181">
        <v>7</v>
      </c>
      <c r="C8" s="149">
        <v>650</v>
      </c>
      <c r="D8" s="12">
        <v>6</v>
      </c>
      <c r="E8" s="89">
        <f t="shared" si="0"/>
        <v>16</v>
      </c>
      <c r="F8" s="116" t="s">
        <v>989</v>
      </c>
      <c r="G8" s="95" t="s">
        <v>370</v>
      </c>
      <c r="H8" s="181">
        <v>6</v>
      </c>
      <c r="I8" s="146">
        <v>250000</v>
      </c>
      <c r="J8" s="149">
        <v>1000</v>
      </c>
      <c r="N8" s="28" t="s">
        <v>14</v>
      </c>
      <c r="O8" s="28">
        <f>CharacterSheet!F8</f>
        <v>0</v>
      </c>
      <c r="P8" s="28">
        <f>CharacterSheet!G8</f>
        <v>0</v>
      </c>
      <c r="U8" s="28"/>
      <c r="V8" s="28"/>
    </row>
    <row r="9" spans="1:22" ht="15.75" x14ac:dyDescent="0.25">
      <c r="A9" s="9" t="s">
        <v>341</v>
      </c>
      <c r="B9" s="181">
        <v>8</v>
      </c>
      <c r="C9" s="149">
        <v>800</v>
      </c>
      <c r="D9" s="12">
        <v>7</v>
      </c>
      <c r="E9" s="89">
        <f t="shared" si="0"/>
        <v>22</v>
      </c>
      <c r="F9" s="116" t="s">
        <v>1063</v>
      </c>
      <c r="G9" s="95" t="s">
        <v>371</v>
      </c>
      <c r="H9" s="181">
        <v>7</v>
      </c>
      <c r="I9" s="146">
        <v>1250000</v>
      </c>
      <c r="J9" s="149">
        <v>5000</v>
      </c>
      <c r="N9" s="28" t="s">
        <v>30</v>
      </c>
      <c r="O9" s="28">
        <f>CharacterSheet!F6</f>
        <v>0</v>
      </c>
      <c r="P9" s="28">
        <f>CharacterSheet!G6</f>
        <v>0</v>
      </c>
      <c r="U9" s="28"/>
      <c r="V9" s="28"/>
    </row>
    <row r="10" spans="1:22" ht="15.75" x14ac:dyDescent="0.25">
      <c r="A10" s="9" t="s">
        <v>342</v>
      </c>
      <c r="B10" s="181">
        <v>9</v>
      </c>
      <c r="C10" s="149">
        <v>1000</v>
      </c>
      <c r="D10" s="12">
        <v>8</v>
      </c>
      <c r="E10" s="89">
        <f t="shared" si="0"/>
        <v>29</v>
      </c>
      <c r="F10" s="116" t="s">
        <v>994</v>
      </c>
      <c r="G10" s="95" t="s">
        <v>372</v>
      </c>
      <c r="H10" s="181">
        <v>8</v>
      </c>
      <c r="I10" s="146">
        <v>12500000</v>
      </c>
      <c r="J10" s="149">
        <v>50000</v>
      </c>
      <c r="N10" s="28" t="s">
        <v>21</v>
      </c>
      <c r="O10" s="28">
        <f>CharacterSheet!V8</f>
        <v>0</v>
      </c>
      <c r="P10" s="28">
        <f>CharacterSheet!W8</f>
        <v>0</v>
      </c>
      <c r="U10" s="28"/>
      <c r="V10" s="28"/>
    </row>
    <row r="11" spans="1:22" ht="15.75" x14ac:dyDescent="0.25">
      <c r="A11" s="9" t="s">
        <v>343</v>
      </c>
      <c r="B11" s="181">
        <v>10</v>
      </c>
      <c r="C11" s="149">
        <v>1200</v>
      </c>
      <c r="D11" s="12">
        <v>9</v>
      </c>
      <c r="E11" s="89">
        <f t="shared" si="0"/>
        <v>37</v>
      </c>
      <c r="F11" s="116" t="s">
        <v>990</v>
      </c>
      <c r="G11" s="95" t="s">
        <v>704</v>
      </c>
      <c r="H11" s="181">
        <v>9</v>
      </c>
      <c r="I11" s="146">
        <v>125000000</v>
      </c>
      <c r="J11" s="149">
        <v>500000</v>
      </c>
      <c r="U11" s="28"/>
      <c r="V11" s="28"/>
    </row>
    <row r="12" spans="1:22" ht="16.5" thickBot="1" x14ac:dyDescent="0.3">
      <c r="A12" s="9" t="s">
        <v>344</v>
      </c>
      <c r="B12" s="181">
        <v>11</v>
      </c>
      <c r="C12" s="149">
        <v>1400</v>
      </c>
      <c r="D12" s="13">
        <v>10</v>
      </c>
      <c r="E12" s="90">
        <f t="shared" si="0"/>
        <v>46</v>
      </c>
      <c r="F12" s="116" t="s">
        <v>1003</v>
      </c>
      <c r="G12" s="95" t="s">
        <v>373</v>
      </c>
      <c r="H12" s="180">
        <v>10</v>
      </c>
      <c r="I12" s="150">
        <v>1250000000</v>
      </c>
      <c r="J12" s="160">
        <v>5000000</v>
      </c>
      <c r="U12" s="28"/>
      <c r="V12" s="28"/>
    </row>
    <row r="13" spans="1:22" ht="15.75" x14ac:dyDescent="0.25">
      <c r="A13" s="9" t="s">
        <v>345</v>
      </c>
      <c r="B13" s="181">
        <v>12</v>
      </c>
      <c r="C13" s="149">
        <v>1600</v>
      </c>
      <c r="D13" s="143" t="s">
        <v>87</v>
      </c>
      <c r="E13" s="179" t="s">
        <v>10</v>
      </c>
      <c r="F13" s="116" t="s">
        <v>995</v>
      </c>
      <c r="G13" s="95" t="s">
        <v>115</v>
      </c>
      <c r="H13" s="143" t="s">
        <v>454</v>
      </c>
      <c r="I13" s="144" t="s">
        <v>140</v>
      </c>
      <c r="J13" s="148" t="s">
        <v>5</v>
      </c>
      <c r="U13" s="28"/>
      <c r="V13" s="28"/>
    </row>
    <row r="14" spans="1:22" ht="15.75" x14ac:dyDescent="0.25">
      <c r="A14" s="9" t="s">
        <v>346</v>
      </c>
      <c r="B14" s="181">
        <v>13</v>
      </c>
      <c r="C14" s="149">
        <v>1800</v>
      </c>
      <c r="D14" s="12">
        <v>0</v>
      </c>
      <c r="E14" s="89">
        <v>0</v>
      </c>
      <c r="F14" s="116" t="s">
        <v>996</v>
      </c>
      <c r="G14" s="95" t="s">
        <v>374</v>
      </c>
      <c r="H14" s="181" t="s">
        <v>463</v>
      </c>
      <c r="I14" s="146"/>
      <c r="J14" s="149"/>
      <c r="U14" s="28"/>
      <c r="V14" s="28"/>
    </row>
    <row r="15" spans="1:22" ht="15.75" x14ac:dyDescent="0.25">
      <c r="A15" s="9" t="s">
        <v>347</v>
      </c>
      <c r="B15" s="181">
        <v>14</v>
      </c>
      <c r="C15" s="149">
        <v>2000</v>
      </c>
      <c r="D15" s="12">
        <v>1</v>
      </c>
      <c r="E15" s="89">
        <v>1</v>
      </c>
      <c r="F15" s="116" t="s">
        <v>991</v>
      </c>
      <c r="G15" s="95" t="s">
        <v>375</v>
      </c>
      <c r="H15" s="181"/>
      <c r="I15" s="146"/>
      <c r="J15" s="149" t="s">
        <v>475</v>
      </c>
      <c r="U15" s="28"/>
      <c r="V15" s="28"/>
    </row>
    <row r="16" spans="1:22" ht="15.75" x14ac:dyDescent="0.25">
      <c r="A16" s="9" t="s">
        <v>348</v>
      </c>
      <c r="B16" s="181">
        <v>15</v>
      </c>
      <c r="C16" s="149">
        <v>2200</v>
      </c>
      <c r="D16" s="12">
        <v>2</v>
      </c>
      <c r="E16" s="89">
        <v>2</v>
      </c>
      <c r="F16" s="116" t="s">
        <v>999</v>
      </c>
      <c r="G16" s="95" t="s">
        <v>376</v>
      </c>
      <c r="H16" s="181" t="s">
        <v>476</v>
      </c>
      <c r="I16" s="146"/>
      <c r="J16" s="149"/>
      <c r="U16" s="28"/>
      <c r="V16" s="28"/>
    </row>
    <row r="17" spans="1:22" ht="15.75" x14ac:dyDescent="0.25">
      <c r="A17" s="9" t="s">
        <v>349</v>
      </c>
      <c r="B17" s="181">
        <v>16</v>
      </c>
      <c r="C17" s="149">
        <v>2500</v>
      </c>
      <c r="D17" s="12">
        <v>3</v>
      </c>
      <c r="E17" s="89">
        <v>3</v>
      </c>
      <c r="F17" s="116" t="s">
        <v>1000</v>
      </c>
      <c r="G17" s="95" t="s">
        <v>377</v>
      </c>
      <c r="H17" s="181" t="s">
        <v>477</v>
      </c>
      <c r="I17" s="146"/>
      <c r="J17" s="149"/>
      <c r="U17" s="28"/>
      <c r="V17" s="28"/>
    </row>
    <row r="18" spans="1:22" ht="15.75" x14ac:dyDescent="0.25">
      <c r="A18" s="9" t="s">
        <v>350</v>
      </c>
      <c r="B18" s="181">
        <v>17</v>
      </c>
      <c r="C18" s="149">
        <v>3000</v>
      </c>
      <c r="D18" s="12">
        <v>4</v>
      </c>
      <c r="E18" s="89">
        <v>4</v>
      </c>
      <c r="F18" s="116" t="s">
        <v>1001</v>
      </c>
      <c r="G18" s="95" t="s">
        <v>378</v>
      </c>
      <c r="H18" s="181" t="s">
        <v>478</v>
      </c>
      <c r="I18" s="146" t="s">
        <v>486</v>
      </c>
      <c r="J18" s="149" t="s">
        <v>491</v>
      </c>
      <c r="U18" s="28"/>
      <c r="V18" s="28"/>
    </row>
    <row r="19" spans="1:22" ht="15.75" x14ac:dyDescent="0.25">
      <c r="A19" s="9" t="s">
        <v>351</v>
      </c>
      <c r="B19" s="181">
        <v>18</v>
      </c>
      <c r="C19" s="149">
        <v>3500</v>
      </c>
      <c r="D19" s="12">
        <v>5</v>
      </c>
      <c r="E19" s="89">
        <v>5</v>
      </c>
      <c r="F19" s="116" t="s">
        <v>1004</v>
      </c>
      <c r="G19" s="95" t="s">
        <v>379</v>
      </c>
      <c r="H19" s="181" t="s">
        <v>479</v>
      </c>
      <c r="I19" s="146" t="s">
        <v>487</v>
      </c>
      <c r="J19" s="149" t="s">
        <v>488</v>
      </c>
      <c r="U19" s="28"/>
      <c r="V19" s="28"/>
    </row>
    <row r="20" spans="1:22" ht="15.75" x14ac:dyDescent="0.25">
      <c r="A20" s="9" t="s">
        <v>352</v>
      </c>
      <c r="B20" s="181">
        <v>19</v>
      </c>
      <c r="C20" s="149">
        <v>4000</v>
      </c>
      <c r="D20" s="12">
        <v>6</v>
      </c>
      <c r="E20" s="89">
        <v>6</v>
      </c>
      <c r="F20" s="116" t="s">
        <v>433</v>
      </c>
      <c r="G20" s="95" t="s">
        <v>380</v>
      </c>
      <c r="H20" s="181" t="s">
        <v>480</v>
      </c>
      <c r="I20" s="146" t="s">
        <v>487</v>
      </c>
      <c r="J20" s="149" t="s">
        <v>488</v>
      </c>
      <c r="U20" s="28"/>
      <c r="V20" s="28"/>
    </row>
    <row r="21" spans="1:22" ht="16.5" thickBot="1" x14ac:dyDescent="0.3">
      <c r="A21" s="9" t="s">
        <v>353</v>
      </c>
      <c r="B21" s="180">
        <v>20</v>
      </c>
      <c r="C21" s="160">
        <v>4500</v>
      </c>
      <c r="D21" s="12">
        <v>7</v>
      </c>
      <c r="E21" s="89">
        <v>7</v>
      </c>
      <c r="F21" s="116" t="s">
        <v>434</v>
      </c>
      <c r="G21" s="95" t="s">
        <v>381</v>
      </c>
      <c r="H21" s="181" t="s">
        <v>481</v>
      </c>
      <c r="I21" s="146" t="s">
        <v>487</v>
      </c>
      <c r="J21" s="149" t="s">
        <v>488</v>
      </c>
      <c r="U21" s="28"/>
      <c r="V21" s="28"/>
    </row>
    <row r="22" spans="1:22" ht="15.75" x14ac:dyDescent="0.25">
      <c r="A22" s="9" t="s">
        <v>354</v>
      </c>
      <c r="B22" s="5" t="s">
        <v>357</v>
      </c>
      <c r="C22" s="5" t="s">
        <v>139</v>
      </c>
      <c r="D22" s="12">
        <v>8</v>
      </c>
      <c r="E22" s="89">
        <v>8</v>
      </c>
      <c r="F22" s="116" t="s">
        <v>435</v>
      </c>
      <c r="G22" s="96" t="s">
        <v>382</v>
      </c>
      <c r="H22" s="181" t="s">
        <v>495</v>
      </c>
      <c r="I22" s="146"/>
      <c r="J22" s="149"/>
      <c r="U22" s="28"/>
      <c r="V22" s="28"/>
    </row>
    <row r="23" spans="1:22" ht="15.75" x14ac:dyDescent="0.25">
      <c r="A23" s="9" t="s">
        <v>355</v>
      </c>
      <c r="B23" s="9" t="s">
        <v>536</v>
      </c>
      <c r="C23" s="9" t="s">
        <v>362</v>
      </c>
      <c r="D23" s="12">
        <v>9</v>
      </c>
      <c r="E23" s="89">
        <v>9</v>
      </c>
      <c r="F23" s="116" t="s">
        <v>436</v>
      </c>
      <c r="G23" s="95" t="s">
        <v>703</v>
      </c>
      <c r="H23" s="181" t="s">
        <v>496</v>
      </c>
      <c r="I23" s="146" t="s">
        <v>490</v>
      </c>
      <c r="J23" s="149" t="s">
        <v>492</v>
      </c>
      <c r="U23" s="28"/>
      <c r="V23" s="28"/>
    </row>
    <row r="24" spans="1:22" ht="16.5" thickBot="1" x14ac:dyDescent="0.3">
      <c r="A24" s="14" t="s">
        <v>356</v>
      </c>
      <c r="B24" s="9" t="s">
        <v>55</v>
      </c>
      <c r="C24" s="9" t="s">
        <v>141</v>
      </c>
      <c r="D24" s="13">
        <v>10</v>
      </c>
      <c r="E24" s="90">
        <v>10</v>
      </c>
      <c r="F24" s="116" t="s">
        <v>437</v>
      </c>
      <c r="G24" s="95" t="s">
        <v>383</v>
      </c>
      <c r="H24" s="181" t="s">
        <v>498</v>
      </c>
      <c r="I24" s="146"/>
      <c r="J24" s="149"/>
      <c r="U24" s="28"/>
      <c r="V24" s="28"/>
    </row>
    <row r="25" spans="1:22" ht="15.75" x14ac:dyDescent="0.25">
      <c r="A25" s="5" t="s">
        <v>462</v>
      </c>
      <c r="B25" s="9" t="s">
        <v>56</v>
      </c>
      <c r="C25" s="9" t="s">
        <v>140</v>
      </c>
      <c r="D25" s="15" t="s">
        <v>59</v>
      </c>
      <c r="E25" s="91" t="s">
        <v>74</v>
      </c>
      <c r="F25" s="116" t="s">
        <v>438</v>
      </c>
      <c r="G25" s="95" t="s">
        <v>384</v>
      </c>
      <c r="H25" s="181" t="s">
        <v>482</v>
      </c>
      <c r="I25" s="146"/>
      <c r="J25" s="149"/>
      <c r="U25" s="28"/>
      <c r="V25" s="28"/>
    </row>
    <row r="26" spans="1:22" ht="15.75" x14ac:dyDescent="0.25">
      <c r="A26" s="16" t="s">
        <v>460</v>
      </c>
      <c r="B26" s="9" t="s">
        <v>57</v>
      </c>
      <c r="C26" s="9" t="s">
        <v>5</v>
      </c>
      <c r="D26" s="10" t="s">
        <v>514</v>
      </c>
      <c r="E26" s="92" t="s">
        <v>387</v>
      </c>
      <c r="F26" s="116" t="s">
        <v>439</v>
      </c>
      <c r="G26" s="95" t="s">
        <v>385</v>
      </c>
      <c r="H26" s="181" t="s">
        <v>483</v>
      </c>
      <c r="I26" s="146"/>
      <c r="J26" s="149"/>
      <c r="U26" s="28"/>
      <c r="V26" s="28"/>
    </row>
    <row r="27" spans="1:22" ht="16.5" thickBot="1" x14ac:dyDescent="0.3">
      <c r="A27" s="16" t="s">
        <v>494</v>
      </c>
      <c r="B27" s="14" t="s">
        <v>58</v>
      </c>
      <c r="C27" s="9" t="s">
        <v>364</v>
      </c>
      <c r="D27" s="10" t="s">
        <v>513</v>
      </c>
      <c r="E27" s="92" t="s">
        <v>142</v>
      </c>
      <c r="F27" s="116" t="s">
        <v>440</v>
      </c>
      <c r="G27" s="96" t="s">
        <v>386</v>
      </c>
      <c r="H27" s="181" t="s">
        <v>484</v>
      </c>
      <c r="I27" s="146" t="s">
        <v>489</v>
      </c>
      <c r="J27" s="149" t="s">
        <v>493</v>
      </c>
      <c r="U27" s="28"/>
      <c r="V27" s="28"/>
    </row>
    <row r="28" spans="1:22" ht="16.5" thickBot="1" x14ac:dyDescent="0.3">
      <c r="A28" s="16" t="s">
        <v>464</v>
      </c>
      <c r="B28" s="45" t="s">
        <v>39</v>
      </c>
      <c r="C28" s="14" t="s">
        <v>363</v>
      </c>
      <c r="D28" s="17" t="s">
        <v>515</v>
      </c>
      <c r="E28" s="92" t="s">
        <v>143</v>
      </c>
      <c r="F28" s="116" t="s">
        <v>441</v>
      </c>
      <c r="G28" s="95" t="s">
        <v>87</v>
      </c>
      <c r="H28" s="180" t="s">
        <v>485</v>
      </c>
      <c r="I28" s="150" t="s">
        <v>509</v>
      </c>
      <c r="J28" s="160" t="s">
        <v>510</v>
      </c>
      <c r="U28" s="28"/>
      <c r="V28" s="28"/>
    </row>
    <row r="29" spans="1:22" ht="15.75" x14ac:dyDescent="0.25">
      <c r="A29" s="16" t="s">
        <v>465</v>
      </c>
      <c r="B29" s="16" t="s">
        <v>48</v>
      </c>
      <c r="C29" s="5" t="s">
        <v>359</v>
      </c>
      <c r="D29" s="15" t="s">
        <v>62</v>
      </c>
      <c r="E29" s="92" t="s">
        <v>145</v>
      </c>
      <c r="F29" s="116" t="s">
        <v>442</v>
      </c>
      <c r="G29" s="95" t="s">
        <v>192</v>
      </c>
      <c r="H29" s="46"/>
      <c r="U29" s="28"/>
      <c r="V29" s="28"/>
    </row>
    <row r="30" spans="1:22" ht="16.5" thickBot="1" x14ac:dyDescent="0.3">
      <c r="A30" s="16" t="s">
        <v>466</v>
      </c>
      <c r="B30" s="16" t="s">
        <v>830</v>
      </c>
      <c r="C30" s="9" t="s">
        <v>360</v>
      </c>
      <c r="D30" s="11" t="s">
        <v>537</v>
      </c>
      <c r="E30" s="93" t="s">
        <v>144</v>
      </c>
      <c r="F30" s="116" t="s">
        <v>443</v>
      </c>
      <c r="G30" s="95" t="s">
        <v>185</v>
      </c>
      <c r="U30" s="28"/>
      <c r="V30" s="28"/>
    </row>
    <row r="31" spans="1:22" ht="16.5" thickBot="1" x14ac:dyDescent="0.3">
      <c r="A31" s="16" t="s">
        <v>467</v>
      </c>
      <c r="B31" s="63" t="s">
        <v>54</v>
      </c>
      <c r="C31" s="77" t="s">
        <v>361</v>
      </c>
      <c r="D31" s="510" t="s">
        <v>1748</v>
      </c>
      <c r="E31" s="743"/>
      <c r="F31" s="116" t="s">
        <v>444</v>
      </c>
      <c r="G31" s="95" t="s">
        <v>190</v>
      </c>
      <c r="U31" s="28"/>
      <c r="V31" s="28"/>
    </row>
    <row r="32" spans="1:22" ht="15.75" x14ac:dyDescent="0.25">
      <c r="A32" s="75" t="s">
        <v>468</v>
      </c>
      <c r="B32" s="510" t="s">
        <v>1747</v>
      </c>
      <c r="C32" s="742"/>
      <c r="D32" s="88" t="s">
        <v>36</v>
      </c>
      <c r="E32" s="168">
        <f>CharacterSheet!E13+CharacterSheet!E13</f>
        <v>0</v>
      </c>
      <c r="F32" s="116" t="s">
        <v>445</v>
      </c>
      <c r="G32" s="95" t="s">
        <v>188</v>
      </c>
      <c r="U32" s="28"/>
      <c r="V32" s="28"/>
    </row>
    <row r="33" spans="1:22" ht="15.75" x14ac:dyDescent="0.25">
      <c r="A33" s="75" t="s">
        <v>469</v>
      </c>
      <c r="B33" s="68" t="s">
        <v>18</v>
      </c>
      <c r="C33" s="162">
        <f>CharacterSheet!M8</f>
        <v>1</v>
      </c>
      <c r="D33" s="88" t="s">
        <v>55</v>
      </c>
      <c r="E33" s="168">
        <f>K47</f>
        <v>0</v>
      </c>
      <c r="F33" s="116" t="s">
        <v>446</v>
      </c>
      <c r="G33" s="95" t="s">
        <v>174</v>
      </c>
      <c r="U33" s="28"/>
      <c r="V33" s="28"/>
    </row>
    <row r="34" spans="1:22" ht="15.75" x14ac:dyDescent="0.25">
      <c r="A34" s="75" t="s">
        <v>470</v>
      </c>
      <c r="B34" s="68" t="s">
        <v>16</v>
      </c>
      <c r="C34" s="162">
        <f>CharacterSheet!M6</f>
        <v>1</v>
      </c>
      <c r="D34" s="88" t="s">
        <v>38</v>
      </c>
      <c r="E34" s="168">
        <f>CharacterSheet!E15+CharacterSheet!G15</f>
        <v>0</v>
      </c>
      <c r="F34" s="116" t="s">
        <v>447</v>
      </c>
      <c r="G34" s="95" t="s">
        <v>163</v>
      </c>
      <c r="H34" s="2"/>
      <c r="U34" s="28"/>
      <c r="V34" s="28"/>
    </row>
    <row r="35" spans="1:22" ht="16.5" thickBot="1" x14ac:dyDescent="0.3">
      <c r="A35" s="75" t="s">
        <v>471</v>
      </c>
      <c r="B35" s="68" t="s">
        <v>175</v>
      </c>
      <c r="C35" s="162">
        <f>O49</f>
        <v>0</v>
      </c>
      <c r="D35" s="88" t="s">
        <v>39</v>
      </c>
      <c r="E35" s="168">
        <f>CharacterSheet!E16+CharacterSheet!G16</f>
        <v>0</v>
      </c>
      <c r="F35" s="116" t="s">
        <v>448</v>
      </c>
      <c r="G35" s="95" t="s">
        <v>1366</v>
      </c>
      <c r="U35" s="28"/>
      <c r="V35" s="28"/>
    </row>
    <row r="36" spans="1:22" ht="15.75" x14ac:dyDescent="0.25">
      <c r="A36" s="75" t="s">
        <v>497</v>
      </c>
      <c r="B36" s="68" t="s">
        <v>13</v>
      </c>
      <c r="C36" s="162">
        <f>CharacterSheet!E7</f>
        <v>1</v>
      </c>
      <c r="D36" s="88" t="s">
        <v>185</v>
      </c>
      <c r="E36" s="168">
        <f>IF(CharacterSheet!Y9="Cheval",LOOKUP(CharacterSheet!AC9,Reference!J51:J70,Reference!K51:K70),0)</f>
        <v>0</v>
      </c>
      <c r="F36" s="116" t="s">
        <v>449</v>
      </c>
      <c r="G36" s="95" t="s">
        <v>180</v>
      </c>
      <c r="J36" s="152"/>
      <c r="K36" s="153" t="s">
        <v>55</v>
      </c>
      <c r="L36" s="153" t="s">
        <v>56</v>
      </c>
      <c r="M36" s="153" t="s">
        <v>57</v>
      </c>
      <c r="N36" s="154" t="s">
        <v>58</v>
      </c>
      <c r="O36" s="171"/>
      <c r="U36" s="28"/>
      <c r="V36" s="28"/>
    </row>
    <row r="37" spans="1:22" ht="15.75" x14ac:dyDescent="0.25">
      <c r="A37" s="75" t="s">
        <v>472</v>
      </c>
      <c r="B37" s="68" t="s">
        <v>20</v>
      </c>
      <c r="C37" s="162">
        <f>CharacterSheet!U7</f>
        <v>1</v>
      </c>
      <c r="D37" s="88" t="s">
        <v>40</v>
      </c>
      <c r="E37" s="168">
        <f>CharacterSheet!E17+CharacterSheet!G17</f>
        <v>0</v>
      </c>
      <c r="F37" s="116" t="s">
        <v>450</v>
      </c>
      <c r="G37" s="95" t="s">
        <v>177</v>
      </c>
      <c r="J37" s="136" t="s">
        <v>1749</v>
      </c>
      <c r="K37" s="137">
        <f>IF(CharacterSheet!Q12="art",CharacterSheet!U12+CharacterSheet!W12,0)</f>
        <v>0</v>
      </c>
      <c r="L37" s="137">
        <f>IF(CharacterSheet!Q12="Control",CharacterSheet!U12+CharacterSheet!W12,0)</f>
        <v>0</v>
      </c>
      <c r="M37" s="137">
        <f>IF(CharacterSheet!Q12="Craft",CharacterSheet!U12+CharacterSheet!W12,0)</f>
        <v>0</v>
      </c>
      <c r="N37" s="162">
        <f>IF(CharacterSheet!Q12="Science",CharacterSheet!U12+CharacterSheet!W12,0)</f>
        <v>0</v>
      </c>
      <c r="O37" s="171"/>
      <c r="U37" s="28"/>
      <c r="V37" s="28"/>
    </row>
    <row r="38" spans="1:22" ht="15.75" x14ac:dyDescent="0.25">
      <c r="A38" s="75" t="s">
        <v>473</v>
      </c>
      <c r="B38" s="68" t="s">
        <v>60</v>
      </c>
      <c r="C38" s="162">
        <v>0</v>
      </c>
      <c r="D38" s="88" t="s">
        <v>56</v>
      </c>
      <c r="E38" s="168">
        <f>L47</f>
        <v>0</v>
      </c>
      <c r="F38" s="116" t="s">
        <v>968</v>
      </c>
      <c r="G38" s="95" t="s">
        <v>705</v>
      </c>
      <c r="J38" s="136" t="s">
        <v>1750</v>
      </c>
      <c r="K38" s="137">
        <f>IF(CharacterSheet!Q13="art",CharacterSheet!U13+CharacterSheet!W13,0)</f>
        <v>0</v>
      </c>
      <c r="L38" s="137">
        <f>IF(CharacterSheet!Q13="Control",CharacterSheet!U13+CharacterSheet!W13,0)</f>
        <v>0</v>
      </c>
      <c r="M38" s="137">
        <f>IF(CharacterSheet!Q13="Craft",CharacterSheet!U13+CharacterSheet!W13,0)</f>
        <v>0</v>
      </c>
      <c r="N38" s="162">
        <f>IF(CharacterSheet!Q13="Science",CharacterSheet!U13+CharacterSheet!W13,0)</f>
        <v>0</v>
      </c>
      <c r="O38" s="171"/>
      <c r="U38" s="28"/>
      <c r="V38" s="28"/>
    </row>
    <row r="39" spans="1:22" ht="15.75" x14ac:dyDescent="0.25">
      <c r="A39" s="75" t="s">
        <v>474</v>
      </c>
      <c r="B39" s="68" t="s">
        <v>17</v>
      </c>
      <c r="C39" s="162">
        <f>CharacterSheet!M7</f>
        <v>1</v>
      </c>
      <c r="D39" s="88" t="s">
        <v>57</v>
      </c>
      <c r="E39" s="168">
        <f>M47</f>
        <v>0</v>
      </c>
      <c r="F39" s="116" t="s">
        <v>401</v>
      </c>
      <c r="G39" s="95" t="s">
        <v>194</v>
      </c>
      <c r="J39" s="136" t="s">
        <v>1751</v>
      </c>
      <c r="K39" s="137">
        <f>IF(CharacterSheet!Q14="art",CharacterSheet!U14+CharacterSheet!W14,0)</f>
        <v>0</v>
      </c>
      <c r="L39" s="137">
        <f>IF(CharacterSheet!Q14="Control",CharacterSheet!U14+CharacterSheet!W14,0)</f>
        <v>0</v>
      </c>
      <c r="M39" s="137">
        <f>IF(CharacterSheet!Q14="Craft",CharacterSheet!U14+CharacterSheet!W14,0)</f>
        <v>0</v>
      </c>
      <c r="N39" s="162">
        <f>IF(CharacterSheet!Q14="Science",CharacterSheet!U14+CharacterSheet!W14,0)</f>
        <v>0</v>
      </c>
      <c r="O39" s="171"/>
    </row>
    <row r="40" spans="1:22" ht="16.5" thickBot="1" x14ac:dyDescent="0.3">
      <c r="A40" s="64" t="s">
        <v>461</v>
      </c>
      <c r="B40" s="68" t="s">
        <v>508</v>
      </c>
      <c r="C40" s="162" t="s">
        <v>508</v>
      </c>
      <c r="D40" s="88" t="s">
        <v>41</v>
      </c>
      <c r="E40" s="168">
        <f>CharacterSheet!E18+CharacterSheet!G18</f>
        <v>0</v>
      </c>
      <c r="F40" s="116" t="s">
        <v>402</v>
      </c>
      <c r="G40" s="95" t="s">
        <v>196</v>
      </c>
      <c r="J40" s="136" t="s">
        <v>1752</v>
      </c>
      <c r="K40" s="137">
        <f>IF(CharacterSheet!Q15="art",CharacterSheet!U15+CharacterSheet!W15,0)</f>
        <v>0</v>
      </c>
      <c r="L40" s="137">
        <f>IF(CharacterSheet!Q15="Control",CharacterSheet!U15+CharacterSheet!W15,0)</f>
        <v>0</v>
      </c>
      <c r="M40" s="137">
        <f>IF(CharacterSheet!Q15="Craft",CharacterSheet!U15+CharacterSheet!W15,0)</f>
        <v>0</v>
      </c>
      <c r="N40" s="162">
        <f>IF(CharacterSheet!Q15="Science",CharacterSheet!U15+CharacterSheet!W15,0)</f>
        <v>0</v>
      </c>
      <c r="O40" s="171"/>
    </row>
    <row r="41" spans="1:22" ht="15.75" x14ac:dyDescent="0.25">
      <c r="A41" s="76" t="s">
        <v>203</v>
      </c>
      <c r="B41" s="68" t="s">
        <v>19</v>
      </c>
      <c r="C41" s="162">
        <f>CharacterSheet!U6</f>
        <v>1</v>
      </c>
      <c r="D41" s="88" t="s">
        <v>42</v>
      </c>
      <c r="E41" s="168">
        <f>CharacterSheet!E19+CharacterSheet!G19</f>
        <v>0</v>
      </c>
      <c r="F41" s="116" t="s">
        <v>403</v>
      </c>
      <c r="G41" s="97" t="s">
        <v>452</v>
      </c>
      <c r="J41" s="136" t="s">
        <v>1753</v>
      </c>
      <c r="K41" s="137">
        <f>IF(CharacterSheet!Q16="art",CharacterSheet!U16+CharacterSheet!W16,0)</f>
        <v>0</v>
      </c>
      <c r="L41" s="137">
        <f>IF(CharacterSheet!Q16="Control",CharacterSheet!U16+CharacterSheet!W16,0)</f>
        <v>0</v>
      </c>
      <c r="M41" s="137">
        <f>IF(CharacterSheet!Q16="Craft",CharacterSheet!U16+CharacterSheet!W16,0)</f>
        <v>0</v>
      </c>
      <c r="N41" s="162">
        <f>IF(CharacterSheet!Q16="Science",CharacterSheet!U16+CharacterSheet!W16,0)</f>
        <v>0</v>
      </c>
      <c r="O41" s="171"/>
    </row>
    <row r="42" spans="1:22" ht="15.75" x14ac:dyDescent="0.25">
      <c r="A42" s="75" t="s">
        <v>204</v>
      </c>
      <c r="B42" s="68" t="s">
        <v>14</v>
      </c>
      <c r="C42" s="162">
        <f>CharacterSheet!E8</f>
        <v>1</v>
      </c>
      <c r="D42" s="88" t="s">
        <v>43</v>
      </c>
      <c r="E42" s="168">
        <f>CharacterSheet!E20+CharacterSheet!G20</f>
        <v>0</v>
      </c>
      <c r="F42" s="116" t="s">
        <v>404</v>
      </c>
      <c r="G42" s="98" t="s">
        <v>30</v>
      </c>
      <c r="J42" s="136" t="s">
        <v>1754</v>
      </c>
      <c r="K42" s="137">
        <f>IF(CharacterSheet!Q17="art",CharacterSheet!U17+CharacterSheet!W17,0)</f>
        <v>0</v>
      </c>
      <c r="L42" s="137">
        <f>IF(CharacterSheet!Q17="Control",CharacterSheet!U17+CharacterSheet!W17,0)</f>
        <v>0</v>
      </c>
      <c r="M42" s="137">
        <f>IF(CharacterSheet!Q17="Craft",CharacterSheet!U17+CharacterSheet!W17,0)</f>
        <v>0</v>
      </c>
      <c r="N42" s="162">
        <f>IF(CharacterSheet!Q17="Science",CharacterSheet!U17+CharacterSheet!W17,0)</f>
        <v>0</v>
      </c>
      <c r="O42" s="171"/>
    </row>
    <row r="43" spans="1:22" ht="15.75" x14ac:dyDescent="0.25">
      <c r="A43" s="75" t="s">
        <v>205</v>
      </c>
      <c r="B43" s="68" t="s">
        <v>30</v>
      </c>
      <c r="C43" s="162">
        <f>CharacterSheet!E6</f>
        <v>1</v>
      </c>
      <c r="D43" s="88" t="s">
        <v>45</v>
      </c>
      <c r="E43" s="147">
        <f>CharacterSheet!M12+CharacterSheet!O12</f>
        <v>0</v>
      </c>
      <c r="F43" s="116" t="s">
        <v>1060</v>
      </c>
      <c r="G43" s="98" t="s">
        <v>13</v>
      </c>
      <c r="J43" s="136" t="s">
        <v>1755</v>
      </c>
      <c r="K43" s="137">
        <f>IF(CharacterSheet!Q18="art",CharacterSheet!U18+CharacterSheet!W18,0)</f>
        <v>0</v>
      </c>
      <c r="L43" s="137">
        <f>IF(CharacterSheet!Q18="Control",CharacterSheet!U18+CharacterSheet!W18,0)</f>
        <v>0</v>
      </c>
      <c r="M43" s="137">
        <f>IF(CharacterSheet!Q18="Craft",CharacterSheet!U18+CharacterSheet!W18,0)</f>
        <v>0</v>
      </c>
      <c r="N43" s="162">
        <f>IF(CharacterSheet!Q18="Science",CharacterSheet!U18+CharacterSheet!W18,0)</f>
        <v>0</v>
      </c>
      <c r="O43" s="171"/>
    </row>
    <row r="44" spans="1:22" ht="15.75" x14ac:dyDescent="0.25">
      <c r="A44" s="75" t="s">
        <v>206</v>
      </c>
      <c r="B44" s="68" t="s">
        <v>1086</v>
      </c>
      <c r="C44" s="162" t="s">
        <v>834</v>
      </c>
      <c r="D44" s="88" t="s">
        <v>60</v>
      </c>
      <c r="E44" s="147">
        <v>0</v>
      </c>
      <c r="F44" s="116" t="s">
        <v>113</v>
      </c>
      <c r="G44" s="98" t="s">
        <v>14</v>
      </c>
      <c r="J44" s="136" t="s">
        <v>1756</v>
      </c>
      <c r="K44" s="137">
        <f>IF(CharacterSheet!Q19="art",CharacterSheet!U19+CharacterSheet!W19,0)</f>
        <v>0</v>
      </c>
      <c r="L44" s="137">
        <f>IF(CharacterSheet!Q19="Control",CharacterSheet!U19+CharacterSheet!W19,0)</f>
        <v>0</v>
      </c>
      <c r="M44" s="137">
        <f>IF(CharacterSheet!Q19="Craft",CharacterSheet!U19+CharacterSheet!W19,0)</f>
        <v>0</v>
      </c>
      <c r="N44" s="162">
        <f>IF(CharacterSheet!Q19="Science",CharacterSheet!U19+CharacterSheet!W19,0)</f>
        <v>0</v>
      </c>
      <c r="O44" s="171"/>
    </row>
    <row r="45" spans="1:22" ht="15.75" x14ac:dyDescent="0.25">
      <c r="A45" s="75" t="s">
        <v>207</v>
      </c>
      <c r="B45" s="68" t="s">
        <v>83</v>
      </c>
      <c r="C45" s="162">
        <f>CharacterSheet!V31</f>
        <v>5</v>
      </c>
      <c r="D45" s="88" t="s">
        <v>46</v>
      </c>
      <c r="E45" s="147">
        <f>CharacterSheet!M13+CharacterSheet!O13</f>
        <v>0</v>
      </c>
      <c r="F45" s="116" t="s">
        <v>405</v>
      </c>
      <c r="G45" s="98" t="s">
        <v>16</v>
      </c>
      <c r="J45" s="136" t="s">
        <v>1757</v>
      </c>
      <c r="K45" s="137">
        <f>IF(CharacterSheet!Q20="art",CharacterSheet!U20+CharacterSheet!W20,0)</f>
        <v>0</v>
      </c>
      <c r="L45" s="137">
        <f>IF(CharacterSheet!Q20="Control",CharacterSheet!U20+CharacterSheet!W20,0)</f>
        <v>0</v>
      </c>
      <c r="M45" s="137">
        <f>IF(CharacterSheet!Q20="Craft",CharacterSheet!U20+CharacterSheet!W20,0)</f>
        <v>0</v>
      </c>
      <c r="N45" s="162">
        <f>IF(CharacterSheet!Q20="Science",CharacterSheet!U20+CharacterSheet!W20,0)</f>
        <v>0</v>
      </c>
      <c r="O45" s="171"/>
    </row>
    <row r="46" spans="1:22" ht="16.5" thickBot="1" x14ac:dyDescent="0.3">
      <c r="A46" s="75" t="s">
        <v>208</v>
      </c>
      <c r="B46" s="78" t="s">
        <v>21</v>
      </c>
      <c r="C46" s="174">
        <f>CharacterSheet!U8</f>
        <v>1</v>
      </c>
      <c r="D46" s="88" t="s">
        <v>47</v>
      </c>
      <c r="E46" s="147">
        <f>CharacterSheet!M14+CharacterSheet!O14</f>
        <v>0</v>
      </c>
      <c r="F46" s="116" t="s">
        <v>107</v>
      </c>
      <c r="G46" s="98" t="s">
        <v>17</v>
      </c>
      <c r="J46" s="136" t="s">
        <v>1758</v>
      </c>
      <c r="K46" s="137">
        <f>IF(CharacterSheet!Q21="art",CharacterSheet!U21+CharacterSheet!W21,0)</f>
        <v>0</v>
      </c>
      <c r="L46" s="137">
        <f>IF(CharacterSheet!Q21="Control",CharacterSheet!U21+CharacterSheet!W21,0)</f>
        <v>0</v>
      </c>
      <c r="M46" s="137">
        <f>IF(CharacterSheet!Q21="Craft",CharacterSheet!U21+CharacterSheet!W21,0)</f>
        <v>0</v>
      </c>
      <c r="N46" s="162">
        <f>IF(CharacterSheet!Q21="Science",CharacterSheet!U21+CharacterSheet!W21,0)</f>
        <v>0</v>
      </c>
      <c r="O46" s="171"/>
    </row>
    <row r="47" spans="1:22" ht="16.5" thickBot="1" x14ac:dyDescent="0.3">
      <c r="A47" s="75" t="s">
        <v>210</v>
      </c>
      <c r="B47" s="117" t="s">
        <v>1766</v>
      </c>
      <c r="C47" s="114" t="s">
        <v>1153</v>
      </c>
      <c r="D47" s="88" t="s">
        <v>508</v>
      </c>
      <c r="E47" s="147" t="s">
        <v>508</v>
      </c>
      <c r="F47" s="116" t="s">
        <v>406</v>
      </c>
      <c r="G47" s="98" t="s">
        <v>18</v>
      </c>
      <c r="J47" s="30" t="s">
        <v>1759</v>
      </c>
      <c r="K47" s="145">
        <f>LARGE(K37:K46,1)</f>
        <v>0</v>
      </c>
      <c r="L47" s="145">
        <f t="shared" ref="L47:N47" si="1">LARGE(L37:L46,1)</f>
        <v>0</v>
      </c>
      <c r="M47" s="145">
        <f t="shared" si="1"/>
        <v>0</v>
      </c>
      <c r="N47" s="174">
        <f t="shared" si="1"/>
        <v>0</v>
      </c>
      <c r="O47" s="171"/>
    </row>
    <row r="48" spans="1:22" ht="15.75" x14ac:dyDescent="0.25">
      <c r="A48" s="75" t="s">
        <v>211</v>
      </c>
      <c r="B48" s="118" t="s">
        <v>775</v>
      </c>
      <c r="C48" s="115" t="s">
        <v>1434</v>
      </c>
      <c r="D48" s="88" t="s">
        <v>49</v>
      </c>
      <c r="E48" s="147">
        <f>CharacterSheet!M16+CharacterSheet!O16</f>
        <v>0</v>
      </c>
      <c r="F48" s="116" t="s">
        <v>407</v>
      </c>
      <c r="G48" s="98" t="s">
        <v>19</v>
      </c>
      <c r="J48" s="152"/>
      <c r="K48" s="153">
        <v>1</v>
      </c>
      <c r="L48" s="153">
        <v>2</v>
      </c>
      <c r="M48" s="153">
        <v>3</v>
      </c>
      <c r="N48" s="153">
        <v>4</v>
      </c>
      <c r="O48" s="154" t="s">
        <v>1760</v>
      </c>
    </row>
    <row r="49" spans="1:20" ht="16.5" thickBot="1" x14ac:dyDescent="0.3">
      <c r="A49" s="75" t="s">
        <v>212</v>
      </c>
      <c r="B49" s="118" t="s">
        <v>716</v>
      </c>
      <c r="C49" s="115" t="s">
        <v>1533</v>
      </c>
      <c r="D49" s="88" t="s">
        <v>50</v>
      </c>
      <c r="E49" s="147">
        <f>CharacterSheet!M17+CharacterSheet!O17</f>
        <v>0</v>
      </c>
      <c r="F49" s="116" t="s">
        <v>408</v>
      </c>
      <c r="G49" s="98" t="s">
        <v>20</v>
      </c>
      <c r="J49" s="140" t="s">
        <v>175</v>
      </c>
      <c r="K49" s="141">
        <f>IF(CharacterSheet!G29="Conviction",CharacterSheet!L29,0)</f>
        <v>0</v>
      </c>
      <c r="L49" s="141">
        <f>IF(CharacterSheet!G30="Conviction",CharacterSheet!L30,0)</f>
        <v>0</v>
      </c>
      <c r="M49" s="141">
        <f>IF(CharacterSheet!M29="Conviction",CharacterSheet!R29,0)</f>
        <v>0</v>
      </c>
      <c r="N49" s="141">
        <f>IF(CharacterSheet!M30="Conviction",CharacterSheet!R30,0)</f>
        <v>0</v>
      </c>
      <c r="O49" s="155">
        <f>LARGE(K49:N49,1)</f>
        <v>0</v>
      </c>
    </row>
    <row r="50" spans="1:20" ht="16.5" thickBot="1" x14ac:dyDescent="0.3">
      <c r="A50" s="75" t="s">
        <v>213</v>
      </c>
      <c r="B50" s="118" t="s">
        <v>734</v>
      </c>
      <c r="C50" s="115" t="s">
        <v>1154</v>
      </c>
      <c r="D50" s="88" t="s">
        <v>51</v>
      </c>
      <c r="E50" s="147">
        <f>CharacterSheet!M18+CharacterSheet!O18</f>
        <v>0</v>
      </c>
      <c r="F50" s="116" t="s">
        <v>409</v>
      </c>
      <c r="G50" s="99" t="s">
        <v>21</v>
      </c>
    </row>
    <row r="51" spans="1:20" ht="15.75" x14ac:dyDescent="0.25">
      <c r="A51" s="75" t="s">
        <v>214</v>
      </c>
      <c r="B51" s="118" t="s">
        <v>735</v>
      </c>
      <c r="C51" s="115" t="s">
        <v>1534</v>
      </c>
      <c r="D51" s="88" t="s">
        <v>58</v>
      </c>
      <c r="E51" s="147">
        <f>N47</f>
        <v>0</v>
      </c>
      <c r="F51" s="116" t="s">
        <v>410</v>
      </c>
      <c r="G51" s="100" t="s">
        <v>31</v>
      </c>
      <c r="J51" s="81" t="s">
        <v>1140</v>
      </c>
      <c r="K51" s="82">
        <v>3</v>
      </c>
      <c r="Q51" s="73"/>
      <c r="T51" s="73"/>
    </row>
    <row r="52" spans="1:20" x14ac:dyDescent="0.25">
      <c r="A52" s="75" t="s">
        <v>215</v>
      </c>
      <c r="B52" s="119" t="s">
        <v>1767</v>
      </c>
      <c r="C52" s="115" t="s">
        <v>1155</v>
      </c>
      <c r="D52" s="88" t="s">
        <v>52</v>
      </c>
      <c r="E52" s="147">
        <f>CharacterSheet!M19+CharacterSheet!O19</f>
        <v>0</v>
      </c>
      <c r="F52" s="116" t="s">
        <v>411</v>
      </c>
      <c r="G52" s="101" t="s">
        <v>175</v>
      </c>
      <c r="J52" s="65" t="s">
        <v>1236</v>
      </c>
      <c r="K52" s="83">
        <v>6</v>
      </c>
      <c r="Q52" s="73"/>
      <c r="T52" s="73"/>
    </row>
    <row r="53" spans="1:20" x14ac:dyDescent="0.25">
      <c r="A53" s="75" t="s">
        <v>216</v>
      </c>
      <c r="B53" s="118" t="s">
        <v>739</v>
      </c>
      <c r="C53" s="115" t="s">
        <v>1156</v>
      </c>
      <c r="D53" s="88" t="s">
        <v>53</v>
      </c>
      <c r="E53" s="147">
        <f>CharacterSheet!M20+CharacterSheet!O20</f>
        <v>0</v>
      </c>
      <c r="F53" s="116" t="s">
        <v>412</v>
      </c>
      <c r="G53" s="101" t="s">
        <v>164</v>
      </c>
      <c r="J53" s="65" t="s">
        <v>1332</v>
      </c>
      <c r="K53" s="83">
        <v>8</v>
      </c>
      <c r="Q53" s="73"/>
      <c r="T53" s="73"/>
    </row>
    <row r="54" spans="1:20" x14ac:dyDescent="0.25">
      <c r="A54" s="75" t="s">
        <v>217</v>
      </c>
      <c r="B54" s="118" t="s">
        <v>740</v>
      </c>
      <c r="C54" s="115" t="s">
        <v>1535</v>
      </c>
      <c r="D54" s="88" t="s">
        <v>1746</v>
      </c>
      <c r="E54" s="147">
        <f>IF(CharacterSheet!Y9="TsukumoGami",LOOKUP(CharacterSheet!AC9,Reference!J51:J70,K51:K70),0)</f>
        <v>0</v>
      </c>
      <c r="F54" s="116" t="s">
        <v>413</v>
      </c>
      <c r="G54" s="101" t="s">
        <v>170</v>
      </c>
      <c r="J54" s="65" t="s">
        <v>1234</v>
      </c>
      <c r="K54" s="83">
        <v>4</v>
      </c>
      <c r="Q54" s="73"/>
      <c r="T54" s="73"/>
    </row>
    <row r="55" spans="1:20" ht="15.75" thickBot="1" x14ac:dyDescent="0.3">
      <c r="A55" s="80" t="s">
        <v>218</v>
      </c>
      <c r="B55" s="118" t="s">
        <v>741</v>
      </c>
      <c r="C55" s="115" t="s">
        <v>1435</v>
      </c>
      <c r="D55" s="103" t="s">
        <v>1086</v>
      </c>
      <c r="E55" s="178" t="s">
        <v>834</v>
      </c>
      <c r="F55" s="116" t="s">
        <v>414</v>
      </c>
      <c r="G55" s="101" t="s">
        <v>165</v>
      </c>
      <c r="J55" s="65" t="s">
        <v>1139</v>
      </c>
      <c r="K55" s="83">
        <v>2</v>
      </c>
      <c r="Q55" s="73"/>
      <c r="T55" s="73"/>
    </row>
    <row r="56" spans="1:20" x14ac:dyDescent="0.25">
      <c r="A56" s="75" t="s">
        <v>219</v>
      </c>
      <c r="B56" s="118" t="s">
        <v>743</v>
      </c>
      <c r="C56" s="110" t="s">
        <v>1157</v>
      </c>
      <c r="D56" s="113" t="s">
        <v>1087</v>
      </c>
      <c r="E56" s="112" t="s">
        <v>1135</v>
      </c>
      <c r="F56" s="116" t="s">
        <v>415</v>
      </c>
      <c r="G56" s="101" t="s">
        <v>166</v>
      </c>
      <c r="J56" s="65" t="s">
        <v>1138</v>
      </c>
      <c r="K56" s="83">
        <v>1</v>
      </c>
      <c r="Q56" s="73"/>
      <c r="T56" s="73"/>
    </row>
    <row r="57" spans="1:20" x14ac:dyDescent="0.25">
      <c r="A57" s="75" t="s">
        <v>220</v>
      </c>
      <c r="B57" s="119" t="s">
        <v>1768</v>
      </c>
      <c r="C57" s="104" t="s">
        <v>1536</v>
      </c>
      <c r="D57" s="105" t="s">
        <v>1088</v>
      </c>
      <c r="E57" s="106" t="s">
        <v>1136</v>
      </c>
      <c r="F57" s="116" t="s">
        <v>1038</v>
      </c>
      <c r="G57" s="101" t="s">
        <v>178</v>
      </c>
      <c r="J57" s="65" t="s">
        <v>1237</v>
      </c>
      <c r="K57" s="83">
        <v>7</v>
      </c>
      <c r="Q57" s="73"/>
      <c r="T57" s="73"/>
    </row>
    <row r="58" spans="1:20" x14ac:dyDescent="0.25">
      <c r="A58" s="75" t="s">
        <v>221</v>
      </c>
      <c r="B58" s="118" t="s">
        <v>754</v>
      </c>
      <c r="C58" s="104" t="s">
        <v>1159</v>
      </c>
      <c r="D58" s="105" t="s">
        <v>1089</v>
      </c>
      <c r="E58" s="106" t="s">
        <v>1137</v>
      </c>
      <c r="F58" s="116" t="s">
        <v>1033</v>
      </c>
      <c r="G58" s="101" t="s">
        <v>171</v>
      </c>
      <c r="J58" s="65" t="s">
        <v>1253</v>
      </c>
      <c r="K58" s="83">
        <v>7</v>
      </c>
      <c r="Q58" s="73"/>
      <c r="T58" s="73"/>
    </row>
    <row r="59" spans="1:20" x14ac:dyDescent="0.25">
      <c r="A59" s="75" t="s">
        <v>222</v>
      </c>
      <c r="B59" s="118" t="s">
        <v>746</v>
      </c>
      <c r="C59" s="104" t="s">
        <v>1158</v>
      </c>
      <c r="D59" s="105" t="s">
        <v>1402</v>
      </c>
      <c r="E59" s="106" t="s">
        <v>1230</v>
      </c>
      <c r="F59" s="116" t="s">
        <v>1028</v>
      </c>
      <c r="G59" s="101" t="s">
        <v>167</v>
      </c>
      <c r="J59" s="65" t="s">
        <v>1252</v>
      </c>
      <c r="K59" s="83">
        <v>6</v>
      </c>
      <c r="Q59" s="73"/>
      <c r="T59" s="73"/>
    </row>
    <row r="60" spans="1:20" x14ac:dyDescent="0.25">
      <c r="A60" s="75" t="s">
        <v>223</v>
      </c>
      <c r="B60" s="118" t="s">
        <v>801</v>
      </c>
      <c r="C60" s="104" t="s">
        <v>1436</v>
      </c>
      <c r="D60" s="105" t="s">
        <v>1166</v>
      </c>
      <c r="E60" s="106" t="s">
        <v>1231</v>
      </c>
      <c r="F60" s="116" t="s">
        <v>1039</v>
      </c>
      <c r="G60" s="101" t="s">
        <v>181</v>
      </c>
      <c r="J60" s="65" t="s">
        <v>1345</v>
      </c>
      <c r="K60" s="83">
        <v>9</v>
      </c>
      <c r="Q60" s="73"/>
      <c r="T60" s="73"/>
    </row>
    <row r="61" spans="1:20" x14ac:dyDescent="0.25">
      <c r="A61" s="75" t="s">
        <v>224</v>
      </c>
      <c r="B61" s="118" t="s">
        <v>748</v>
      </c>
      <c r="C61" s="104" t="s">
        <v>1437</v>
      </c>
      <c r="D61" s="105" t="s">
        <v>1167</v>
      </c>
      <c r="E61" s="106" t="s">
        <v>1232</v>
      </c>
      <c r="F61" s="116" t="s">
        <v>1023</v>
      </c>
      <c r="G61" s="101" t="s">
        <v>186</v>
      </c>
      <c r="J61" s="65" t="s">
        <v>1152</v>
      </c>
      <c r="K61" s="83">
        <v>3</v>
      </c>
      <c r="Q61" s="73"/>
      <c r="T61" s="73"/>
    </row>
    <row r="62" spans="1:20" x14ac:dyDescent="0.25">
      <c r="A62" s="75" t="s">
        <v>225</v>
      </c>
      <c r="B62" s="118" t="s">
        <v>750</v>
      </c>
      <c r="C62" s="104" t="s">
        <v>1254</v>
      </c>
      <c r="D62" s="105" t="s">
        <v>1168</v>
      </c>
      <c r="E62" s="106" t="s">
        <v>1233</v>
      </c>
      <c r="F62" s="116" t="s">
        <v>1065</v>
      </c>
      <c r="G62" s="101" t="s">
        <v>172</v>
      </c>
      <c r="J62" s="65" t="s">
        <v>1251</v>
      </c>
      <c r="K62" s="83">
        <v>5</v>
      </c>
      <c r="Q62" s="73"/>
      <c r="T62" s="73"/>
    </row>
    <row r="63" spans="1:20" x14ac:dyDescent="0.25">
      <c r="A63" s="75" t="s">
        <v>226</v>
      </c>
      <c r="B63" s="118" t="s">
        <v>747</v>
      </c>
      <c r="C63" s="104" t="s">
        <v>1255</v>
      </c>
      <c r="D63" s="105" t="s">
        <v>1169</v>
      </c>
      <c r="E63" s="106" t="s">
        <v>1329</v>
      </c>
      <c r="F63" s="116" t="s">
        <v>1034</v>
      </c>
      <c r="G63" s="79" t="s">
        <v>183</v>
      </c>
      <c r="J63" s="65" t="s">
        <v>1344</v>
      </c>
      <c r="K63" s="83">
        <v>8</v>
      </c>
      <c r="Q63" s="73"/>
      <c r="T63" s="73"/>
    </row>
    <row r="64" spans="1:20" x14ac:dyDescent="0.25">
      <c r="A64" s="80" t="s">
        <v>1380</v>
      </c>
      <c r="B64" s="118" t="s">
        <v>751</v>
      </c>
      <c r="C64" s="104" t="s">
        <v>1438</v>
      </c>
      <c r="D64" s="105" t="s">
        <v>1403</v>
      </c>
      <c r="E64" s="106" t="s">
        <v>1330</v>
      </c>
      <c r="F64" s="116" t="s">
        <v>1024</v>
      </c>
      <c r="G64" s="116" t="s">
        <v>1010</v>
      </c>
      <c r="J64" s="65" t="s">
        <v>1346</v>
      </c>
      <c r="K64" s="83">
        <v>10</v>
      </c>
      <c r="Q64" s="73"/>
      <c r="T64" s="73"/>
    </row>
    <row r="65" spans="1:20" x14ac:dyDescent="0.25">
      <c r="A65" s="75" t="s">
        <v>1359</v>
      </c>
      <c r="B65" s="118" t="s">
        <v>803</v>
      </c>
      <c r="C65" s="104" t="s">
        <v>1537</v>
      </c>
      <c r="D65" s="105" t="s">
        <v>1266</v>
      </c>
      <c r="E65" s="106" t="s">
        <v>1331</v>
      </c>
      <c r="F65" s="116" t="s">
        <v>1029</v>
      </c>
      <c r="G65" s="116" t="s">
        <v>1015</v>
      </c>
      <c r="J65" s="65" t="s">
        <v>1250</v>
      </c>
      <c r="K65" s="83">
        <v>4</v>
      </c>
      <c r="Q65" s="73"/>
      <c r="T65" s="73"/>
    </row>
    <row r="66" spans="1:20" x14ac:dyDescent="0.25">
      <c r="A66" s="75" t="s">
        <v>1360</v>
      </c>
      <c r="B66" s="118" t="s">
        <v>802</v>
      </c>
      <c r="C66" s="104" t="s">
        <v>1538</v>
      </c>
      <c r="D66" s="105" t="s">
        <v>1267</v>
      </c>
      <c r="E66" s="106" t="s">
        <v>1090</v>
      </c>
      <c r="F66" s="116" t="s">
        <v>1025</v>
      </c>
      <c r="G66" s="116" t="s">
        <v>1011</v>
      </c>
      <c r="J66" s="65" t="s">
        <v>1150</v>
      </c>
      <c r="K66" s="83">
        <v>1</v>
      </c>
      <c r="Q66" s="73"/>
      <c r="T66" s="73"/>
    </row>
    <row r="67" spans="1:20" x14ac:dyDescent="0.25">
      <c r="A67" s="75" t="s">
        <v>1361</v>
      </c>
      <c r="B67" s="118" t="s">
        <v>804</v>
      </c>
      <c r="C67" s="104" t="s">
        <v>1256</v>
      </c>
      <c r="D67" s="105" t="s">
        <v>1268</v>
      </c>
      <c r="E67" s="106" t="s">
        <v>1091</v>
      </c>
      <c r="F67" s="116" t="s">
        <v>1030</v>
      </c>
      <c r="G67" s="116" t="s">
        <v>1064</v>
      </c>
      <c r="J67" s="65" t="s">
        <v>1151</v>
      </c>
      <c r="K67" s="83">
        <v>2</v>
      </c>
      <c r="Q67" s="73"/>
      <c r="T67" s="73"/>
    </row>
    <row r="68" spans="1:20" x14ac:dyDescent="0.25">
      <c r="A68" s="75" t="s">
        <v>1362</v>
      </c>
      <c r="B68" s="118" t="s">
        <v>753</v>
      </c>
      <c r="C68" s="104" t="s">
        <v>1439</v>
      </c>
      <c r="D68" s="105" t="s">
        <v>1269</v>
      </c>
      <c r="E68" s="106" t="s">
        <v>1092</v>
      </c>
      <c r="F68" s="116" t="s">
        <v>1026</v>
      </c>
      <c r="G68" s="116" t="s">
        <v>1016</v>
      </c>
      <c r="J68" s="65" t="s">
        <v>1334</v>
      </c>
      <c r="K68" s="83">
        <v>10</v>
      </c>
      <c r="Q68" s="73"/>
      <c r="T68" s="73"/>
    </row>
    <row r="69" spans="1:20" x14ac:dyDescent="0.25">
      <c r="A69" s="75" t="s">
        <v>1363</v>
      </c>
      <c r="B69" s="118" t="s">
        <v>806</v>
      </c>
      <c r="C69" s="104" t="s">
        <v>1257</v>
      </c>
      <c r="D69" s="105" t="s">
        <v>1486</v>
      </c>
      <c r="E69" s="106" t="s">
        <v>1170</v>
      </c>
      <c r="F69" s="116" t="s">
        <v>1035</v>
      </c>
      <c r="G69" s="116" t="s">
        <v>1020</v>
      </c>
      <c r="J69" s="65" t="s">
        <v>1333</v>
      </c>
      <c r="K69" s="83">
        <v>9</v>
      </c>
      <c r="Q69" s="73"/>
      <c r="T69" s="73"/>
    </row>
    <row r="70" spans="1:20" ht="15.75" thickBot="1" x14ac:dyDescent="0.3">
      <c r="A70" s="75" t="s">
        <v>1364</v>
      </c>
      <c r="B70" s="118" t="s">
        <v>755</v>
      </c>
      <c r="C70" s="104" t="s">
        <v>1440</v>
      </c>
      <c r="D70" s="105" t="s">
        <v>1487</v>
      </c>
      <c r="E70" s="106" t="s">
        <v>1404</v>
      </c>
      <c r="F70" s="116" t="s">
        <v>1031</v>
      </c>
      <c r="G70" s="116" t="s">
        <v>1017</v>
      </c>
      <c r="J70" s="70" t="s">
        <v>1235</v>
      </c>
      <c r="K70" s="84">
        <v>5</v>
      </c>
      <c r="Q70" s="73"/>
      <c r="T70" s="73"/>
    </row>
    <row r="71" spans="1:20" x14ac:dyDescent="0.25">
      <c r="A71" s="75" t="s">
        <v>1365</v>
      </c>
      <c r="B71" s="118" t="s">
        <v>749</v>
      </c>
      <c r="C71" s="104" t="s">
        <v>1347</v>
      </c>
      <c r="D71" s="105" t="s">
        <v>1488</v>
      </c>
      <c r="E71" s="106" t="s">
        <v>1171</v>
      </c>
      <c r="F71" s="116" t="s">
        <v>1040</v>
      </c>
      <c r="G71" s="116" t="s">
        <v>1005</v>
      </c>
      <c r="J71" s="2"/>
    </row>
    <row r="72" spans="1:20" x14ac:dyDescent="0.25">
      <c r="A72" s="80" t="s">
        <v>227</v>
      </c>
      <c r="B72" s="118" t="s">
        <v>807</v>
      </c>
      <c r="C72" s="104" t="s">
        <v>1441</v>
      </c>
      <c r="D72" s="105" t="s">
        <v>1489</v>
      </c>
      <c r="E72" s="106" t="s">
        <v>1172</v>
      </c>
      <c r="F72" s="116" t="s">
        <v>1027</v>
      </c>
      <c r="G72" s="116" t="s">
        <v>1006</v>
      </c>
      <c r="J72" s="2"/>
    </row>
    <row r="73" spans="1:20" x14ac:dyDescent="0.25">
      <c r="A73" s="75" t="s">
        <v>228</v>
      </c>
      <c r="B73" s="118" t="s">
        <v>752</v>
      </c>
      <c r="C73" s="104" t="s">
        <v>1442</v>
      </c>
      <c r="D73" s="105" t="s">
        <v>1491</v>
      </c>
      <c r="E73" s="106" t="s">
        <v>1173</v>
      </c>
      <c r="F73" s="116" t="s">
        <v>1036</v>
      </c>
      <c r="G73" s="116" t="s">
        <v>1018</v>
      </c>
      <c r="J73" s="2"/>
    </row>
    <row r="74" spans="1:20" x14ac:dyDescent="0.25">
      <c r="A74" s="75" t="s">
        <v>229</v>
      </c>
      <c r="B74" s="118" t="s">
        <v>808</v>
      </c>
      <c r="C74" s="104" t="s">
        <v>1348</v>
      </c>
      <c r="D74" s="105" t="s">
        <v>1492</v>
      </c>
      <c r="E74" s="106" t="s">
        <v>1270</v>
      </c>
      <c r="F74" s="116" t="s">
        <v>1037</v>
      </c>
      <c r="G74" s="116" t="s">
        <v>1021</v>
      </c>
      <c r="J74" s="2"/>
    </row>
    <row r="75" spans="1:20" x14ac:dyDescent="0.25">
      <c r="A75" s="75" t="s">
        <v>230</v>
      </c>
      <c r="B75" s="118" t="s">
        <v>809</v>
      </c>
      <c r="C75" s="104" t="s">
        <v>1349</v>
      </c>
      <c r="D75" s="105" t="s">
        <v>1493</v>
      </c>
      <c r="E75" s="106" t="s">
        <v>1405</v>
      </c>
      <c r="F75" s="116" t="s">
        <v>1032</v>
      </c>
      <c r="G75" s="116" t="s">
        <v>1007</v>
      </c>
      <c r="J75" s="2"/>
    </row>
    <row r="76" spans="1:20" x14ac:dyDescent="0.25">
      <c r="A76" s="75" t="s">
        <v>231</v>
      </c>
      <c r="B76" s="119" t="s">
        <v>1769</v>
      </c>
      <c r="C76" s="104" t="s">
        <v>1443</v>
      </c>
      <c r="D76" s="105" t="s">
        <v>1490</v>
      </c>
      <c r="E76" s="106" t="s">
        <v>1271</v>
      </c>
      <c r="F76" s="116" t="s">
        <v>974</v>
      </c>
      <c r="G76" s="116" t="s">
        <v>1022</v>
      </c>
      <c r="J76" s="2"/>
    </row>
    <row r="77" spans="1:20" x14ac:dyDescent="0.25">
      <c r="A77" s="75" t="s">
        <v>232</v>
      </c>
      <c r="B77" s="118" t="s">
        <v>780</v>
      </c>
      <c r="C77" s="104" t="s">
        <v>1350</v>
      </c>
      <c r="D77" s="105" t="s">
        <v>1494</v>
      </c>
      <c r="E77" s="106" t="s">
        <v>1272</v>
      </c>
      <c r="F77" s="116" t="s">
        <v>969</v>
      </c>
      <c r="G77" s="116" t="s">
        <v>1019</v>
      </c>
      <c r="J77" s="2"/>
    </row>
    <row r="78" spans="1:20" x14ac:dyDescent="0.25">
      <c r="A78" s="75" t="s">
        <v>233</v>
      </c>
      <c r="B78" s="118" t="s">
        <v>742</v>
      </c>
      <c r="C78" s="104" t="s">
        <v>1117</v>
      </c>
      <c r="D78" s="105" t="s">
        <v>1495</v>
      </c>
      <c r="E78" s="106" t="s">
        <v>1273</v>
      </c>
      <c r="F78" s="116" t="s">
        <v>984</v>
      </c>
      <c r="G78" s="116" t="s">
        <v>1012</v>
      </c>
      <c r="J78" s="2"/>
    </row>
    <row r="79" spans="1:20" x14ac:dyDescent="0.25">
      <c r="A79" s="75" t="s">
        <v>234</v>
      </c>
      <c r="B79" s="118" t="s">
        <v>781</v>
      </c>
      <c r="C79" s="104" t="s">
        <v>1422</v>
      </c>
      <c r="D79" s="105" t="s">
        <v>1138</v>
      </c>
      <c r="E79" s="106" t="s">
        <v>1475</v>
      </c>
      <c r="F79" s="116" t="s">
        <v>970</v>
      </c>
      <c r="G79" s="116" t="s">
        <v>1008</v>
      </c>
      <c r="J79" s="2"/>
    </row>
    <row r="80" spans="1:20" x14ac:dyDescent="0.25">
      <c r="A80" s="80" t="s">
        <v>235</v>
      </c>
      <c r="B80" s="118" t="s">
        <v>819</v>
      </c>
      <c r="C80" s="104" t="s">
        <v>1118</v>
      </c>
      <c r="D80" s="105" t="s">
        <v>1139</v>
      </c>
      <c r="E80" s="106" t="s">
        <v>1476</v>
      </c>
      <c r="F80" s="116" t="s">
        <v>975</v>
      </c>
      <c r="G80" s="116" t="s">
        <v>1013</v>
      </c>
      <c r="J80" s="2"/>
    </row>
    <row r="81" spans="1:10" x14ac:dyDescent="0.25">
      <c r="A81" s="75" t="s">
        <v>236</v>
      </c>
      <c r="B81" s="118" t="s">
        <v>744</v>
      </c>
      <c r="C81" s="104" t="s">
        <v>1119</v>
      </c>
      <c r="D81" s="105" t="s">
        <v>1140</v>
      </c>
      <c r="E81" s="106" t="s">
        <v>1477</v>
      </c>
      <c r="F81" s="116" t="s">
        <v>979</v>
      </c>
      <c r="G81" s="116" t="s">
        <v>1014</v>
      </c>
      <c r="J81" s="2"/>
    </row>
    <row r="82" spans="1:10" x14ac:dyDescent="0.25">
      <c r="A82" s="75" t="s">
        <v>237</v>
      </c>
      <c r="B82" s="118" t="s">
        <v>783</v>
      </c>
      <c r="C82" s="104" t="s">
        <v>1206</v>
      </c>
      <c r="D82" s="105" t="s">
        <v>1234</v>
      </c>
      <c r="E82" s="106" t="s">
        <v>1478</v>
      </c>
      <c r="F82" s="116" t="s">
        <v>976</v>
      </c>
      <c r="G82" s="116" t="s">
        <v>1009</v>
      </c>
      <c r="J82" s="2"/>
    </row>
    <row r="83" spans="1:10" x14ac:dyDescent="0.25">
      <c r="A83" s="75" t="s">
        <v>238</v>
      </c>
      <c r="B83" s="118" t="s">
        <v>745</v>
      </c>
      <c r="C83" s="104" t="s">
        <v>1207</v>
      </c>
      <c r="D83" s="105" t="s">
        <v>1235</v>
      </c>
      <c r="E83" s="106" t="s">
        <v>1479</v>
      </c>
      <c r="F83" s="116" t="s">
        <v>980</v>
      </c>
      <c r="G83" s="116" t="s">
        <v>112</v>
      </c>
      <c r="J83" s="2"/>
    </row>
    <row r="84" spans="1:10" x14ac:dyDescent="0.25">
      <c r="A84" s="75" t="s">
        <v>239</v>
      </c>
      <c r="B84" s="119" t="s">
        <v>1770</v>
      </c>
      <c r="C84" s="104" t="s">
        <v>1423</v>
      </c>
      <c r="D84" s="105" t="s">
        <v>1236</v>
      </c>
      <c r="E84" s="106" t="s">
        <v>1480</v>
      </c>
      <c r="F84" s="116" t="s">
        <v>977</v>
      </c>
      <c r="G84" s="116" t="s">
        <v>416</v>
      </c>
      <c r="J84" s="2"/>
    </row>
    <row r="85" spans="1:10" x14ac:dyDescent="0.25">
      <c r="A85" s="75" t="s">
        <v>240</v>
      </c>
      <c r="B85" s="118" t="s">
        <v>901</v>
      </c>
      <c r="C85" s="104" t="s">
        <v>1208</v>
      </c>
      <c r="D85" s="105" t="s">
        <v>1237</v>
      </c>
      <c r="E85" s="106" t="s">
        <v>1481</v>
      </c>
      <c r="F85" s="116" t="s">
        <v>981</v>
      </c>
      <c r="G85" s="116" t="s">
        <v>417</v>
      </c>
      <c r="J85" s="2"/>
    </row>
    <row r="86" spans="1:10" x14ac:dyDescent="0.25">
      <c r="A86" s="75" t="s">
        <v>241</v>
      </c>
      <c r="B86" s="118" t="s">
        <v>715</v>
      </c>
      <c r="C86" s="104" t="s">
        <v>1209</v>
      </c>
      <c r="D86" s="105" t="s">
        <v>1332</v>
      </c>
      <c r="E86" s="106" t="s">
        <v>1482</v>
      </c>
      <c r="F86" s="116" t="s">
        <v>985</v>
      </c>
      <c r="G86" s="116" t="s">
        <v>418</v>
      </c>
      <c r="J86" s="2"/>
    </row>
    <row r="87" spans="1:10" x14ac:dyDescent="0.25">
      <c r="A87" s="75" t="s">
        <v>242</v>
      </c>
      <c r="B87" s="118" t="s">
        <v>777</v>
      </c>
      <c r="C87" s="104" t="s">
        <v>1305</v>
      </c>
      <c r="D87" s="105" t="s">
        <v>1333</v>
      </c>
      <c r="E87" s="106" t="s">
        <v>1483</v>
      </c>
      <c r="F87" s="116" t="s">
        <v>971</v>
      </c>
      <c r="G87" s="116" t="s">
        <v>419</v>
      </c>
    </row>
    <row r="88" spans="1:10" x14ac:dyDescent="0.25">
      <c r="A88" s="75" t="s">
        <v>243</v>
      </c>
      <c r="B88" s="118" t="s">
        <v>776</v>
      </c>
      <c r="C88" s="104" t="s">
        <v>1306</v>
      </c>
      <c r="D88" s="105" t="s">
        <v>1334</v>
      </c>
      <c r="E88" s="106" t="s">
        <v>1484</v>
      </c>
      <c r="F88" s="116" t="s">
        <v>986</v>
      </c>
      <c r="G88" s="116" t="s">
        <v>420</v>
      </c>
    </row>
    <row r="89" spans="1:10" x14ac:dyDescent="0.25">
      <c r="A89" s="75" t="s">
        <v>244</v>
      </c>
      <c r="B89" s="118" t="s">
        <v>717</v>
      </c>
      <c r="C89" s="104" t="s">
        <v>1307</v>
      </c>
      <c r="D89" s="105" t="s">
        <v>1093</v>
      </c>
      <c r="E89" s="106" t="s">
        <v>1096</v>
      </c>
      <c r="F89" s="116" t="s">
        <v>978</v>
      </c>
      <c r="G89" s="116" t="s">
        <v>421</v>
      </c>
    </row>
    <row r="90" spans="1:10" x14ac:dyDescent="0.25">
      <c r="A90" s="75" t="s">
        <v>245</v>
      </c>
      <c r="B90" s="118" t="s">
        <v>718</v>
      </c>
      <c r="C90" s="104" t="s">
        <v>1308</v>
      </c>
      <c r="D90" s="105" t="s">
        <v>1406</v>
      </c>
      <c r="E90" s="106" t="s">
        <v>1408</v>
      </c>
      <c r="F90" s="116" t="s">
        <v>982</v>
      </c>
      <c r="G90" s="116" t="s">
        <v>422</v>
      </c>
    </row>
    <row r="91" spans="1:10" x14ac:dyDescent="0.25">
      <c r="A91" s="75" t="s">
        <v>246</v>
      </c>
      <c r="B91" s="118" t="s">
        <v>778</v>
      </c>
      <c r="C91" s="104" t="s">
        <v>1160</v>
      </c>
      <c r="D91" s="105" t="s">
        <v>1094</v>
      </c>
      <c r="E91" s="106" t="s">
        <v>1097</v>
      </c>
      <c r="F91" s="116" t="s">
        <v>972</v>
      </c>
      <c r="G91" s="116" t="s">
        <v>423</v>
      </c>
    </row>
    <row r="92" spans="1:10" x14ac:dyDescent="0.25">
      <c r="A92" s="75" t="s">
        <v>247</v>
      </c>
      <c r="B92" s="118" t="s">
        <v>719</v>
      </c>
      <c r="C92" s="104" t="s">
        <v>1161</v>
      </c>
      <c r="D92" s="105" t="s">
        <v>1095</v>
      </c>
      <c r="E92" s="106" t="s">
        <v>1098</v>
      </c>
      <c r="F92" s="116" t="s">
        <v>973</v>
      </c>
      <c r="G92" s="116" t="s">
        <v>424</v>
      </c>
    </row>
    <row r="93" spans="1:10" x14ac:dyDescent="0.25">
      <c r="A93" s="80" t="s">
        <v>248</v>
      </c>
      <c r="B93" s="118" t="s">
        <v>720</v>
      </c>
      <c r="C93" s="104" t="s">
        <v>1162</v>
      </c>
      <c r="D93" s="105" t="s">
        <v>1407</v>
      </c>
      <c r="E93" s="106" t="s">
        <v>1178</v>
      </c>
      <c r="F93" s="116" t="s">
        <v>983</v>
      </c>
      <c r="G93" s="116" t="s">
        <v>425</v>
      </c>
    </row>
    <row r="94" spans="1:10" x14ac:dyDescent="0.25">
      <c r="A94" s="75" t="s">
        <v>249</v>
      </c>
      <c r="B94" s="118" t="s">
        <v>721</v>
      </c>
      <c r="C94" s="104" t="s">
        <v>1258</v>
      </c>
      <c r="D94" s="105" t="s">
        <v>1174</v>
      </c>
      <c r="E94" s="106" t="s">
        <v>1179</v>
      </c>
      <c r="F94" s="116" t="s">
        <v>388</v>
      </c>
      <c r="G94" s="116" t="s">
        <v>426</v>
      </c>
    </row>
    <row r="95" spans="1:10" x14ac:dyDescent="0.25">
      <c r="A95" s="75" t="s">
        <v>250</v>
      </c>
      <c r="B95" s="118" t="s">
        <v>722</v>
      </c>
      <c r="C95" s="104" t="s">
        <v>1259</v>
      </c>
      <c r="D95" s="105" t="s">
        <v>1175</v>
      </c>
      <c r="E95" s="106" t="s">
        <v>1180</v>
      </c>
      <c r="F95" s="116" t="s">
        <v>389</v>
      </c>
      <c r="G95" s="116" t="s">
        <v>1061</v>
      </c>
    </row>
    <row r="96" spans="1:10" x14ac:dyDescent="0.25">
      <c r="A96" s="75" t="s">
        <v>251</v>
      </c>
      <c r="B96" s="118" t="s">
        <v>723</v>
      </c>
      <c r="C96" s="104" t="s">
        <v>1260</v>
      </c>
      <c r="D96" s="105" t="s">
        <v>1176</v>
      </c>
      <c r="E96" s="106" t="s">
        <v>1181</v>
      </c>
      <c r="F96" s="116" t="s">
        <v>390</v>
      </c>
      <c r="G96" s="116" t="s">
        <v>427</v>
      </c>
    </row>
    <row r="97" spans="1:7" x14ac:dyDescent="0.25">
      <c r="A97" s="75" t="s">
        <v>252</v>
      </c>
      <c r="B97" s="118" t="s">
        <v>724</v>
      </c>
      <c r="C97" s="104" t="s">
        <v>1261</v>
      </c>
      <c r="D97" s="105" t="s">
        <v>1177</v>
      </c>
      <c r="E97" s="106" t="s">
        <v>1278</v>
      </c>
      <c r="F97" s="116" t="s">
        <v>391</v>
      </c>
      <c r="G97" s="116" t="s">
        <v>428</v>
      </c>
    </row>
    <row r="98" spans="1:7" x14ac:dyDescent="0.25">
      <c r="A98" s="75" t="s">
        <v>253</v>
      </c>
      <c r="B98" s="118" t="s">
        <v>725</v>
      </c>
      <c r="C98" s="104" t="s">
        <v>1351</v>
      </c>
      <c r="D98" s="105" t="s">
        <v>1274</v>
      </c>
      <c r="E98" s="106" t="s">
        <v>1279</v>
      </c>
      <c r="F98" s="116" t="s">
        <v>392</v>
      </c>
      <c r="G98" s="116" t="s">
        <v>429</v>
      </c>
    </row>
    <row r="99" spans="1:7" x14ac:dyDescent="0.25">
      <c r="A99" s="75" t="s">
        <v>254</v>
      </c>
      <c r="B99" s="118" t="s">
        <v>726</v>
      </c>
      <c r="C99" s="104" t="s">
        <v>1352</v>
      </c>
      <c r="D99" s="105" t="s">
        <v>1275</v>
      </c>
      <c r="E99" s="106" t="s">
        <v>1409</v>
      </c>
      <c r="F99" s="116" t="s">
        <v>108</v>
      </c>
      <c r="G99" s="116" t="s">
        <v>430</v>
      </c>
    </row>
    <row r="100" spans="1:7" x14ac:dyDescent="0.25">
      <c r="A100" s="75" t="s">
        <v>255</v>
      </c>
      <c r="B100" s="118" t="s">
        <v>727</v>
      </c>
      <c r="C100" s="104" t="s">
        <v>1353</v>
      </c>
      <c r="D100" s="105" t="s">
        <v>1276</v>
      </c>
      <c r="E100" s="106" t="s">
        <v>1280</v>
      </c>
      <c r="F100" s="116" t="s">
        <v>1059</v>
      </c>
      <c r="G100" s="116" t="s">
        <v>431</v>
      </c>
    </row>
    <row r="101" spans="1:7" x14ac:dyDescent="0.25">
      <c r="A101" s="75" t="s">
        <v>256</v>
      </c>
      <c r="B101" s="118" t="s">
        <v>736</v>
      </c>
      <c r="C101" s="104" t="s">
        <v>1354</v>
      </c>
      <c r="D101" s="105" t="s">
        <v>1277</v>
      </c>
      <c r="E101" s="106" t="s">
        <v>1281</v>
      </c>
      <c r="F101" s="116" t="s">
        <v>109</v>
      </c>
      <c r="G101" s="116" t="s">
        <v>432</v>
      </c>
    </row>
    <row r="102" spans="1:7" x14ac:dyDescent="0.25">
      <c r="A102" s="75" t="s">
        <v>257</v>
      </c>
      <c r="B102" s="118" t="s">
        <v>899</v>
      </c>
      <c r="C102" s="104" t="s">
        <v>1163</v>
      </c>
      <c r="D102" s="105" t="s">
        <v>1099</v>
      </c>
      <c r="E102" s="106" t="s">
        <v>1382</v>
      </c>
      <c r="F102" s="116" t="s">
        <v>393</v>
      </c>
      <c r="G102" s="116" t="s">
        <v>1062</v>
      </c>
    </row>
    <row r="103" spans="1:7" x14ac:dyDescent="0.25">
      <c r="A103" s="75" t="s">
        <v>633</v>
      </c>
      <c r="B103" s="118" t="s">
        <v>728</v>
      </c>
      <c r="C103" s="104" t="s">
        <v>1164</v>
      </c>
      <c r="D103" s="105" t="s">
        <v>1100</v>
      </c>
      <c r="E103" s="106" t="s">
        <v>1383</v>
      </c>
      <c r="F103" s="116" t="s">
        <v>1066</v>
      </c>
      <c r="G103" s="116" t="s">
        <v>1056</v>
      </c>
    </row>
    <row r="104" spans="1:7" x14ac:dyDescent="0.25">
      <c r="A104" s="75" t="s">
        <v>258</v>
      </c>
      <c r="B104" s="118" t="s">
        <v>729</v>
      </c>
      <c r="C104" s="104" t="s">
        <v>1165</v>
      </c>
      <c r="D104" s="105" t="s">
        <v>1101</v>
      </c>
      <c r="E104" s="106" t="s">
        <v>1384</v>
      </c>
      <c r="F104" s="116" t="s">
        <v>394</v>
      </c>
      <c r="G104" s="116" t="s">
        <v>1057</v>
      </c>
    </row>
    <row r="105" spans="1:7" x14ac:dyDescent="0.25">
      <c r="A105" s="75" t="s">
        <v>259</v>
      </c>
      <c r="B105" s="118" t="s">
        <v>730</v>
      </c>
      <c r="C105" s="104" t="s">
        <v>1262</v>
      </c>
      <c r="D105" s="105" t="s">
        <v>1182</v>
      </c>
      <c r="E105" s="106" t="s">
        <v>1385</v>
      </c>
      <c r="F105" s="116" t="s">
        <v>395</v>
      </c>
      <c r="G105" s="116" t="s">
        <v>1046</v>
      </c>
    </row>
    <row r="106" spans="1:7" x14ac:dyDescent="0.25">
      <c r="A106" s="80" t="s">
        <v>260</v>
      </c>
      <c r="B106" s="118" t="s">
        <v>731</v>
      </c>
      <c r="C106" s="104" t="s">
        <v>1263</v>
      </c>
      <c r="D106" s="105" t="s">
        <v>1410</v>
      </c>
      <c r="E106" s="106" t="s">
        <v>1386</v>
      </c>
      <c r="F106" s="116" t="s">
        <v>396</v>
      </c>
      <c r="G106" s="116" t="s">
        <v>1058</v>
      </c>
    </row>
    <row r="107" spans="1:7" x14ac:dyDescent="0.25">
      <c r="A107" s="75" t="s">
        <v>261</v>
      </c>
      <c r="B107" s="118" t="s">
        <v>732</v>
      </c>
      <c r="C107" s="104" t="s">
        <v>1264</v>
      </c>
      <c r="D107" s="105" t="s">
        <v>1183</v>
      </c>
      <c r="E107" s="106" t="s">
        <v>1387</v>
      </c>
      <c r="F107" s="116" t="s">
        <v>397</v>
      </c>
      <c r="G107" s="116" t="s">
        <v>1047</v>
      </c>
    </row>
    <row r="108" spans="1:7" x14ac:dyDescent="0.25">
      <c r="A108" s="75" t="s">
        <v>262</v>
      </c>
      <c r="B108" s="118" t="s">
        <v>733</v>
      </c>
      <c r="C108" s="104" t="s">
        <v>1265</v>
      </c>
      <c r="D108" s="105" t="s">
        <v>1184</v>
      </c>
      <c r="E108" s="106" t="s">
        <v>1388</v>
      </c>
      <c r="F108" s="116" t="s">
        <v>398</v>
      </c>
      <c r="G108" s="116" t="s">
        <v>1048</v>
      </c>
    </row>
    <row r="109" spans="1:7" x14ac:dyDescent="0.25">
      <c r="A109" s="75" t="s">
        <v>263</v>
      </c>
      <c r="B109" s="118" t="s">
        <v>737</v>
      </c>
      <c r="C109" s="104" t="s">
        <v>1355</v>
      </c>
      <c r="D109" s="105" t="s">
        <v>1411</v>
      </c>
      <c r="E109" s="106" t="s">
        <v>1389</v>
      </c>
      <c r="F109" s="116" t="s">
        <v>399</v>
      </c>
      <c r="G109" s="116" t="s">
        <v>1041</v>
      </c>
    </row>
    <row r="110" spans="1:7" x14ac:dyDescent="0.25">
      <c r="A110" s="75" t="s">
        <v>264</v>
      </c>
      <c r="B110" s="118" t="s">
        <v>779</v>
      </c>
      <c r="C110" s="104" t="s">
        <v>1356</v>
      </c>
      <c r="D110" s="105" t="s">
        <v>1185</v>
      </c>
      <c r="E110" s="106" t="s">
        <v>1390</v>
      </c>
      <c r="F110" s="116" t="s">
        <v>967</v>
      </c>
      <c r="G110" s="116" t="s">
        <v>1051</v>
      </c>
    </row>
    <row r="111" spans="1:7" x14ac:dyDescent="0.25">
      <c r="A111" s="75" t="s">
        <v>265</v>
      </c>
      <c r="B111" s="118" t="s">
        <v>738</v>
      </c>
      <c r="C111" s="104" t="s">
        <v>1357</v>
      </c>
      <c r="D111" s="105" t="s">
        <v>1282</v>
      </c>
      <c r="E111" s="106" t="s">
        <v>1391</v>
      </c>
      <c r="F111" s="116" t="s">
        <v>400</v>
      </c>
      <c r="G111" s="116" t="s">
        <v>1042</v>
      </c>
    </row>
    <row r="112" spans="1:7" ht="15.75" thickBot="1" x14ac:dyDescent="0.3">
      <c r="A112" s="75" t="s">
        <v>266</v>
      </c>
      <c r="B112" s="119" t="s">
        <v>1771</v>
      </c>
      <c r="C112" s="104" t="s">
        <v>1358</v>
      </c>
      <c r="D112" s="105" t="s">
        <v>1283</v>
      </c>
      <c r="E112" s="106" t="s">
        <v>1105</v>
      </c>
      <c r="F112" s="126" t="s">
        <v>111</v>
      </c>
      <c r="G112" s="116" t="s">
        <v>1049</v>
      </c>
    </row>
    <row r="113" spans="1:7" x14ac:dyDescent="0.25">
      <c r="A113" s="75" t="s">
        <v>267</v>
      </c>
      <c r="B113" s="118" t="s">
        <v>782</v>
      </c>
      <c r="C113" s="104" t="s">
        <v>1120</v>
      </c>
      <c r="D113" s="105" t="s">
        <v>1284</v>
      </c>
      <c r="E113" s="124" t="s">
        <v>1106</v>
      </c>
      <c r="F113" s="127" t="s">
        <v>1792</v>
      </c>
      <c r="G113" s="125" t="s">
        <v>1043</v>
      </c>
    </row>
    <row r="114" spans="1:7" x14ac:dyDescent="0.25">
      <c r="A114" s="75" t="s">
        <v>268</v>
      </c>
      <c r="B114" s="118" t="s">
        <v>784</v>
      </c>
      <c r="C114" s="104" t="s">
        <v>1121</v>
      </c>
      <c r="D114" s="105" t="s">
        <v>1285</v>
      </c>
      <c r="E114" s="124" t="s">
        <v>1107</v>
      </c>
      <c r="F114" s="128" t="s">
        <v>757</v>
      </c>
      <c r="G114" s="125" t="s">
        <v>1052</v>
      </c>
    </row>
    <row r="115" spans="1:7" x14ac:dyDescent="0.25">
      <c r="A115" s="75" t="s">
        <v>269</v>
      </c>
      <c r="B115" s="119" t="s">
        <v>1772</v>
      </c>
      <c r="C115" s="104" t="s">
        <v>1122</v>
      </c>
      <c r="D115" s="105" t="s">
        <v>1102</v>
      </c>
      <c r="E115" s="124" t="s">
        <v>1190</v>
      </c>
      <c r="F115" s="128" t="s">
        <v>758</v>
      </c>
      <c r="G115" s="125" t="s">
        <v>1050</v>
      </c>
    </row>
    <row r="116" spans="1:7" x14ac:dyDescent="0.25">
      <c r="A116" s="75" t="s">
        <v>270</v>
      </c>
      <c r="B116" s="118" t="s">
        <v>811</v>
      </c>
      <c r="C116" s="104" t="s">
        <v>1210</v>
      </c>
      <c r="D116" s="105" t="s">
        <v>1103</v>
      </c>
      <c r="E116" s="124" t="s">
        <v>1414</v>
      </c>
      <c r="F116" s="128" t="s">
        <v>759</v>
      </c>
      <c r="G116" s="125" t="s">
        <v>1053</v>
      </c>
    </row>
    <row r="117" spans="1:7" x14ac:dyDescent="0.25">
      <c r="A117" s="75" t="s">
        <v>271</v>
      </c>
      <c r="B117" s="118" t="s">
        <v>810</v>
      </c>
      <c r="C117" s="104" t="s">
        <v>1424</v>
      </c>
      <c r="D117" s="105" t="s">
        <v>1412</v>
      </c>
      <c r="E117" s="124" t="s">
        <v>1191</v>
      </c>
      <c r="F117" s="128" t="s">
        <v>760</v>
      </c>
      <c r="G117" s="125" t="s">
        <v>1044</v>
      </c>
    </row>
    <row r="118" spans="1:7" x14ac:dyDescent="0.25">
      <c r="A118" s="75" t="s">
        <v>272</v>
      </c>
      <c r="B118" s="118" t="s">
        <v>812</v>
      </c>
      <c r="C118" s="104" t="s">
        <v>1464</v>
      </c>
      <c r="D118" s="105" t="s">
        <v>1104</v>
      </c>
      <c r="E118" s="124" t="s">
        <v>1192</v>
      </c>
      <c r="F118" s="128" t="s">
        <v>762</v>
      </c>
      <c r="G118" s="125" t="s">
        <v>1054</v>
      </c>
    </row>
    <row r="119" spans="1:7" x14ac:dyDescent="0.25">
      <c r="A119" s="75" t="s">
        <v>273</v>
      </c>
      <c r="B119" s="118" t="s">
        <v>813</v>
      </c>
      <c r="C119" s="104" t="s">
        <v>1211</v>
      </c>
      <c r="D119" s="105" t="s">
        <v>1413</v>
      </c>
      <c r="E119" s="124" t="s">
        <v>1193</v>
      </c>
      <c r="F119" s="128" t="s">
        <v>761</v>
      </c>
      <c r="G119" s="125" t="s">
        <v>1045</v>
      </c>
    </row>
    <row r="120" spans="1:7" x14ac:dyDescent="0.25">
      <c r="A120" s="75" t="s">
        <v>274</v>
      </c>
      <c r="B120" s="118" t="s">
        <v>814</v>
      </c>
      <c r="C120" s="104" t="s">
        <v>1425</v>
      </c>
      <c r="D120" s="105" t="s">
        <v>1186</v>
      </c>
      <c r="E120" s="124" t="s">
        <v>1290</v>
      </c>
      <c r="F120" s="128" t="s">
        <v>763</v>
      </c>
      <c r="G120" s="125" t="s">
        <v>1055</v>
      </c>
    </row>
    <row r="121" spans="1:7" x14ac:dyDescent="0.25">
      <c r="A121" s="80" t="s">
        <v>275</v>
      </c>
      <c r="B121" s="118" t="s">
        <v>815</v>
      </c>
      <c r="C121" s="104" t="s">
        <v>1212</v>
      </c>
      <c r="D121" s="105" t="s">
        <v>1187</v>
      </c>
      <c r="E121" s="124" t="s">
        <v>1415</v>
      </c>
      <c r="F121" s="128" t="s">
        <v>788</v>
      </c>
    </row>
    <row r="122" spans="1:7" x14ac:dyDescent="0.25">
      <c r="A122" s="75" t="s">
        <v>276</v>
      </c>
      <c r="B122" s="118" t="s">
        <v>818</v>
      </c>
      <c r="C122" s="104" t="s">
        <v>1213</v>
      </c>
      <c r="D122" s="105" t="s">
        <v>1188</v>
      </c>
      <c r="E122" s="124" t="s">
        <v>1291</v>
      </c>
      <c r="F122" s="129" t="s">
        <v>1793</v>
      </c>
    </row>
    <row r="123" spans="1:7" x14ac:dyDescent="0.25">
      <c r="A123" s="75" t="s">
        <v>277</v>
      </c>
      <c r="B123" s="118" t="s">
        <v>817</v>
      </c>
      <c r="C123" s="104" t="s">
        <v>1309</v>
      </c>
      <c r="D123" s="105" t="s">
        <v>1189</v>
      </c>
      <c r="E123" s="124" t="s">
        <v>1292</v>
      </c>
      <c r="F123" s="128" t="s">
        <v>785</v>
      </c>
    </row>
    <row r="124" spans="1:7" x14ac:dyDescent="0.25">
      <c r="A124" s="75" t="s">
        <v>278</v>
      </c>
      <c r="B124" s="118" t="s">
        <v>816</v>
      </c>
      <c r="C124" s="104" t="s">
        <v>1310</v>
      </c>
      <c r="D124" s="105" t="s">
        <v>1286</v>
      </c>
      <c r="E124" s="124" t="s">
        <v>1293</v>
      </c>
      <c r="F124" s="128" t="s">
        <v>786</v>
      </c>
    </row>
    <row r="125" spans="1:7" x14ac:dyDescent="0.25">
      <c r="A125" s="75" t="s">
        <v>279</v>
      </c>
      <c r="B125" s="118" t="s">
        <v>820</v>
      </c>
      <c r="C125" s="104" t="s">
        <v>1311</v>
      </c>
      <c r="D125" s="105" t="s">
        <v>1287</v>
      </c>
      <c r="E125" s="124" t="s">
        <v>1108</v>
      </c>
      <c r="F125" s="128" t="s">
        <v>787</v>
      </c>
    </row>
    <row r="126" spans="1:7" x14ac:dyDescent="0.25">
      <c r="A126" s="75" t="s">
        <v>280</v>
      </c>
      <c r="B126" s="118" t="s">
        <v>821</v>
      </c>
      <c r="C126" s="104" t="s">
        <v>1312</v>
      </c>
      <c r="D126" s="105" t="s">
        <v>1288</v>
      </c>
      <c r="E126" s="124" t="s">
        <v>1416</v>
      </c>
      <c r="F126" s="129" t="s">
        <v>1794</v>
      </c>
    </row>
    <row r="127" spans="1:7" x14ac:dyDescent="0.25">
      <c r="A127" s="75" t="s">
        <v>281</v>
      </c>
      <c r="B127" s="118" t="s">
        <v>822</v>
      </c>
      <c r="C127" s="104" t="s">
        <v>1454</v>
      </c>
      <c r="D127" s="105" t="s">
        <v>1289</v>
      </c>
      <c r="E127" s="124" t="s">
        <v>1109</v>
      </c>
      <c r="F127" s="128" t="s">
        <v>893</v>
      </c>
    </row>
    <row r="128" spans="1:7" x14ac:dyDescent="0.25">
      <c r="A128" s="75" t="s">
        <v>282</v>
      </c>
      <c r="B128" s="118" t="s">
        <v>805</v>
      </c>
      <c r="C128" s="104" t="s">
        <v>1455</v>
      </c>
      <c r="D128" s="105" t="s">
        <v>1508</v>
      </c>
      <c r="E128" s="124" t="s">
        <v>1110</v>
      </c>
      <c r="F128" s="128" t="s">
        <v>900</v>
      </c>
    </row>
    <row r="129" spans="1:6" x14ac:dyDescent="0.25">
      <c r="A129" s="80" t="s">
        <v>283</v>
      </c>
      <c r="B129" s="118" t="s">
        <v>823</v>
      </c>
      <c r="C129" s="104" t="s">
        <v>1456</v>
      </c>
      <c r="D129" s="105" t="s">
        <v>1509</v>
      </c>
      <c r="E129" s="124" t="s">
        <v>1194</v>
      </c>
      <c r="F129" s="128" t="s">
        <v>884</v>
      </c>
    </row>
    <row r="130" spans="1:6" x14ac:dyDescent="0.25">
      <c r="A130" s="75" t="s">
        <v>284</v>
      </c>
      <c r="B130" s="119" t="s">
        <v>1773</v>
      </c>
      <c r="C130" s="104" t="s">
        <v>1457</v>
      </c>
      <c r="D130" s="105" t="s">
        <v>1510</v>
      </c>
      <c r="E130" s="124" t="s">
        <v>1195</v>
      </c>
      <c r="F130" s="128" t="s">
        <v>870</v>
      </c>
    </row>
    <row r="131" spans="1:6" x14ac:dyDescent="0.25">
      <c r="A131" s="75" t="s">
        <v>285</v>
      </c>
      <c r="B131" s="118" t="s">
        <v>876</v>
      </c>
      <c r="C131" s="104" t="s">
        <v>1458</v>
      </c>
      <c r="D131" s="105" t="s">
        <v>1511</v>
      </c>
      <c r="E131" s="124" t="s">
        <v>1521</v>
      </c>
      <c r="F131" s="128" t="s">
        <v>880</v>
      </c>
    </row>
    <row r="132" spans="1:6" x14ac:dyDescent="0.25">
      <c r="A132" s="75" t="s">
        <v>286</v>
      </c>
      <c r="B132" s="118" t="s">
        <v>855</v>
      </c>
      <c r="C132" s="104" t="s">
        <v>1459</v>
      </c>
      <c r="D132" s="105" t="s">
        <v>1512</v>
      </c>
      <c r="E132" s="124" t="s">
        <v>1196</v>
      </c>
      <c r="F132" s="128" t="s">
        <v>852</v>
      </c>
    </row>
    <row r="133" spans="1:6" x14ac:dyDescent="0.25">
      <c r="A133" s="75" t="s">
        <v>287</v>
      </c>
      <c r="B133" s="118" t="s">
        <v>863</v>
      </c>
      <c r="C133" s="104" t="s">
        <v>1460</v>
      </c>
      <c r="D133" s="105" t="s">
        <v>1513</v>
      </c>
      <c r="E133" s="124" t="s">
        <v>1417</v>
      </c>
      <c r="F133" s="128" t="s">
        <v>892</v>
      </c>
    </row>
    <row r="134" spans="1:6" x14ac:dyDescent="0.25">
      <c r="A134" s="75" t="s">
        <v>288</v>
      </c>
      <c r="B134" s="118" t="s">
        <v>897</v>
      </c>
      <c r="C134" s="104" t="s">
        <v>1461</v>
      </c>
      <c r="D134" s="105" t="s">
        <v>1514</v>
      </c>
      <c r="E134" s="124" t="s">
        <v>1197</v>
      </c>
      <c r="F134" s="128" t="s">
        <v>872</v>
      </c>
    </row>
    <row r="135" spans="1:6" x14ac:dyDescent="0.25">
      <c r="A135" s="75" t="s">
        <v>524</v>
      </c>
      <c r="B135" s="118" t="s">
        <v>887</v>
      </c>
      <c r="C135" s="104" t="s">
        <v>1462</v>
      </c>
      <c r="D135" s="105" t="s">
        <v>1515</v>
      </c>
      <c r="E135" s="124" t="s">
        <v>1294</v>
      </c>
      <c r="F135" s="128" t="s">
        <v>878</v>
      </c>
    </row>
    <row r="136" spans="1:6" x14ac:dyDescent="0.25">
      <c r="A136" s="75" t="s">
        <v>289</v>
      </c>
      <c r="B136" s="118" t="s">
        <v>864</v>
      </c>
      <c r="C136" s="104" t="s">
        <v>1463</v>
      </c>
      <c r="D136" s="105" t="s">
        <v>1516</v>
      </c>
      <c r="E136" s="124" t="s">
        <v>1295</v>
      </c>
      <c r="F136" s="128" t="s">
        <v>874</v>
      </c>
    </row>
    <row r="137" spans="1:6" x14ac:dyDescent="0.25">
      <c r="A137" s="75" t="s">
        <v>290</v>
      </c>
      <c r="B137" s="118" t="s">
        <v>865</v>
      </c>
      <c r="C137" s="104" t="s">
        <v>1392</v>
      </c>
      <c r="D137" s="105" t="s">
        <v>1517</v>
      </c>
      <c r="E137" s="124" t="s">
        <v>1296</v>
      </c>
      <c r="F137" s="128" t="s">
        <v>873</v>
      </c>
    </row>
    <row r="138" spans="1:6" x14ac:dyDescent="0.25">
      <c r="A138" s="75" t="s">
        <v>291</v>
      </c>
      <c r="B138" s="118" t="s">
        <v>902</v>
      </c>
      <c r="C138" s="104" t="s">
        <v>1393</v>
      </c>
      <c r="D138" s="105" t="s">
        <v>1518</v>
      </c>
      <c r="E138" s="124" t="s">
        <v>1297</v>
      </c>
      <c r="F138" s="129" t="s">
        <v>1774</v>
      </c>
    </row>
    <row r="139" spans="1:6" x14ac:dyDescent="0.25">
      <c r="A139" s="75" t="s">
        <v>292</v>
      </c>
      <c r="B139" s="118" t="s">
        <v>854</v>
      </c>
      <c r="C139" s="104" t="s">
        <v>1394</v>
      </c>
      <c r="D139" s="105" t="s">
        <v>1111</v>
      </c>
      <c r="E139" s="124" t="s">
        <v>1141</v>
      </c>
      <c r="F139" s="128" t="s">
        <v>841</v>
      </c>
    </row>
    <row r="140" spans="1:6" x14ac:dyDescent="0.25">
      <c r="A140" s="75" t="s">
        <v>293</v>
      </c>
      <c r="B140" s="118" t="s">
        <v>853</v>
      </c>
      <c r="C140" s="104" t="s">
        <v>1395</v>
      </c>
      <c r="D140" s="105" t="s">
        <v>1112</v>
      </c>
      <c r="E140" s="124" t="s">
        <v>1142</v>
      </c>
      <c r="F140" s="128" t="s">
        <v>842</v>
      </c>
    </row>
    <row r="141" spans="1:6" ht="15.75" thickBot="1" x14ac:dyDescent="0.3">
      <c r="A141" s="80" t="s">
        <v>294</v>
      </c>
      <c r="B141" s="118" t="s">
        <v>883</v>
      </c>
      <c r="C141" s="104" t="s">
        <v>1396</v>
      </c>
      <c r="D141" s="105" t="s">
        <v>1418</v>
      </c>
      <c r="E141" s="124" t="s">
        <v>1143</v>
      </c>
      <c r="F141" s="130" t="s">
        <v>843</v>
      </c>
    </row>
    <row r="142" spans="1:6" x14ac:dyDescent="0.25">
      <c r="A142" s="75" t="s">
        <v>295</v>
      </c>
      <c r="B142" s="118" t="s">
        <v>882</v>
      </c>
      <c r="C142" s="104" t="s">
        <v>1397</v>
      </c>
      <c r="D142" s="105" t="s">
        <v>1113</v>
      </c>
      <c r="E142" s="106" t="s">
        <v>1238</v>
      </c>
    </row>
    <row r="143" spans="1:6" x14ac:dyDescent="0.25">
      <c r="A143" s="75" t="s">
        <v>296</v>
      </c>
      <c r="B143" s="118" t="s">
        <v>869</v>
      </c>
      <c r="C143" s="104" t="s">
        <v>1398</v>
      </c>
      <c r="D143" s="105" t="s">
        <v>1419</v>
      </c>
      <c r="E143" s="106" t="s">
        <v>1239</v>
      </c>
    </row>
    <row r="144" spans="1:6" x14ac:dyDescent="0.25">
      <c r="A144" s="75" t="s">
        <v>702</v>
      </c>
      <c r="B144" s="118" t="s">
        <v>889</v>
      </c>
      <c r="C144" s="104" t="s">
        <v>1399</v>
      </c>
      <c r="D144" s="105" t="s">
        <v>1198</v>
      </c>
      <c r="E144" s="106" t="s">
        <v>1240</v>
      </c>
    </row>
    <row r="145" spans="1:6" ht="15.75" thickBot="1" x14ac:dyDescent="0.3">
      <c r="A145" s="75" t="s">
        <v>297</v>
      </c>
      <c r="B145" s="118" t="s">
        <v>881</v>
      </c>
      <c r="C145" s="104" t="s">
        <v>1400</v>
      </c>
      <c r="D145" s="105" t="s">
        <v>1522</v>
      </c>
      <c r="E145" s="106" t="s">
        <v>1241</v>
      </c>
    </row>
    <row r="146" spans="1:6" x14ac:dyDescent="0.25">
      <c r="A146" s="75" t="s">
        <v>298</v>
      </c>
      <c r="B146" s="118" t="s">
        <v>879</v>
      </c>
      <c r="C146" s="110" t="s">
        <v>1401</v>
      </c>
      <c r="D146" s="111" t="s">
        <v>1199</v>
      </c>
      <c r="E146" s="111" t="s">
        <v>1335</v>
      </c>
      <c r="F146" s="112" t="s">
        <v>1150</v>
      </c>
    </row>
    <row r="147" spans="1:6" x14ac:dyDescent="0.25">
      <c r="A147" s="75" t="s">
        <v>299</v>
      </c>
      <c r="B147" s="118" t="s">
        <v>851</v>
      </c>
      <c r="C147" s="104" t="s">
        <v>1123</v>
      </c>
      <c r="D147" s="105" t="s">
        <v>1200</v>
      </c>
      <c r="E147" s="105" t="s">
        <v>1336</v>
      </c>
      <c r="F147" s="106" t="s">
        <v>1151</v>
      </c>
    </row>
    <row r="148" spans="1:6" x14ac:dyDescent="0.25">
      <c r="A148" s="75" t="s">
        <v>300</v>
      </c>
      <c r="B148" s="118" t="s">
        <v>871</v>
      </c>
      <c r="C148" s="104" t="s">
        <v>1426</v>
      </c>
      <c r="D148" s="105" t="s">
        <v>1201</v>
      </c>
      <c r="E148" s="105" t="s">
        <v>1337</v>
      </c>
      <c r="F148" s="106" t="s">
        <v>1152</v>
      </c>
    </row>
    <row r="149" spans="1:6" x14ac:dyDescent="0.25">
      <c r="A149" s="75" t="s">
        <v>701</v>
      </c>
      <c r="B149" s="118" t="s">
        <v>890</v>
      </c>
      <c r="C149" s="104" t="s">
        <v>1124</v>
      </c>
      <c r="D149" s="105" t="s">
        <v>1298</v>
      </c>
      <c r="E149" s="105" t="s">
        <v>1465</v>
      </c>
      <c r="F149" s="106" t="s">
        <v>1250</v>
      </c>
    </row>
    <row r="150" spans="1:6" x14ac:dyDescent="0.25">
      <c r="A150" s="75" t="s">
        <v>301</v>
      </c>
      <c r="B150" s="118" t="s">
        <v>885</v>
      </c>
      <c r="C150" s="104" t="s">
        <v>1125</v>
      </c>
      <c r="D150" s="105" t="s">
        <v>1299</v>
      </c>
      <c r="E150" s="105" t="s">
        <v>1466</v>
      </c>
      <c r="F150" s="106" t="s">
        <v>1251</v>
      </c>
    </row>
    <row r="151" spans="1:6" x14ac:dyDescent="0.25">
      <c r="A151" s="75" t="s">
        <v>302</v>
      </c>
      <c r="B151" s="118" t="s">
        <v>894</v>
      </c>
      <c r="C151" s="104" t="s">
        <v>1427</v>
      </c>
      <c r="D151" s="105" t="s">
        <v>1300</v>
      </c>
      <c r="E151" s="105" t="s">
        <v>1467</v>
      </c>
      <c r="F151" s="106" t="s">
        <v>1252</v>
      </c>
    </row>
    <row r="152" spans="1:6" x14ac:dyDescent="0.25">
      <c r="A152" s="80" t="s">
        <v>303</v>
      </c>
      <c r="B152" s="118" t="s">
        <v>895</v>
      </c>
      <c r="C152" s="104" t="s">
        <v>1214</v>
      </c>
      <c r="D152" s="105" t="s">
        <v>1301</v>
      </c>
      <c r="E152" s="105" t="s">
        <v>1468</v>
      </c>
      <c r="F152" s="106" t="s">
        <v>1253</v>
      </c>
    </row>
    <row r="153" spans="1:6" x14ac:dyDescent="0.25">
      <c r="A153" s="75" t="s">
        <v>304</v>
      </c>
      <c r="B153" s="118" t="s">
        <v>868</v>
      </c>
      <c r="C153" s="104" t="s">
        <v>1215</v>
      </c>
      <c r="D153" s="105" t="s">
        <v>1519</v>
      </c>
      <c r="E153" s="105" t="s">
        <v>1469</v>
      </c>
      <c r="F153" s="106" t="s">
        <v>1344</v>
      </c>
    </row>
    <row r="154" spans="1:6" x14ac:dyDescent="0.25">
      <c r="A154" s="75" t="s">
        <v>305</v>
      </c>
      <c r="B154" s="118" t="s">
        <v>1765</v>
      </c>
      <c r="C154" s="104" t="s">
        <v>1216</v>
      </c>
      <c r="D154" s="105" t="s">
        <v>1520</v>
      </c>
      <c r="E154" s="105" t="s">
        <v>1470</v>
      </c>
      <c r="F154" s="106" t="s">
        <v>1345</v>
      </c>
    </row>
    <row r="155" spans="1:6" x14ac:dyDescent="0.25">
      <c r="A155" s="75" t="s">
        <v>306</v>
      </c>
      <c r="B155" s="118" t="s">
        <v>857</v>
      </c>
      <c r="C155" s="104" t="s">
        <v>1217</v>
      </c>
      <c r="D155" s="105" t="s">
        <v>1524</v>
      </c>
      <c r="E155" s="105" t="s">
        <v>1471</v>
      </c>
      <c r="F155" s="106" t="s">
        <v>1346</v>
      </c>
    </row>
    <row r="156" spans="1:6" x14ac:dyDescent="0.25">
      <c r="A156" s="75" t="s">
        <v>307</v>
      </c>
      <c r="B156" s="118" t="s">
        <v>858</v>
      </c>
      <c r="C156" s="104" t="s">
        <v>1313</v>
      </c>
      <c r="D156" s="105" t="s">
        <v>1525</v>
      </c>
      <c r="E156" s="105" t="s">
        <v>1472</v>
      </c>
      <c r="F156" s="106" t="s">
        <v>1129</v>
      </c>
    </row>
    <row r="157" spans="1:6" x14ac:dyDescent="0.25">
      <c r="A157" s="75" t="s">
        <v>308</v>
      </c>
      <c r="B157" s="118" t="s">
        <v>859</v>
      </c>
      <c r="C157" s="104" t="s">
        <v>1314</v>
      </c>
      <c r="D157" s="105" t="s">
        <v>1526</v>
      </c>
      <c r="E157" s="105" t="s">
        <v>1473</v>
      </c>
      <c r="F157" s="106" t="s">
        <v>1130</v>
      </c>
    </row>
    <row r="158" spans="1:6" x14ac:dyDescent="0.25">
      <c r="A158" s="75" t="s">
        <v>309</v>
      </c>
      <c r="B158" s="118" t="s">
        <v>877</v>
      </c>
      <c r="C158" s="104" t="s">
        <v>1315</v>
      </c>
      <c r="D158" s="105" t="s">
        <v>1527</v>
      </c>
      <c r="E158" s="105" t="s">
        <v>1474</v>
      </c>
      <c r="F158" s="106" t="s">
        <v>1131</v>
      </c>
    </row>
    <row r="159" spans="1:6" x14ac:dyDescent="0.25">
      <c r="A159" s="75" t="s">
        <v>310</v>
      </c>
      <c r="B159" s="118" t="s">
        <v>860</v>
      </c>
      <c r="C159" s="104" t="s">
        <v>1316</v>
      </c>
      <c r="D159" s="105" t="s">
        <v>1528</v>
      </c>
      <c r="E159" s="105" t="s">
        <v>1147</v>
      </c>
      <c r="F159" s="106" t="s">
        <v>1222</v>
      </c>
    </row>
    <row r="160" spans="1:6" x14ac:dyDescent="0.25">
      <c r="A160" s="75" t="s">
        <v>311</v>
      </c>
      <c r="B160" s="118" t="s">
        <v>861</v>
      </c>
      <c r="C160" s="104" t="s">
        <v>1496</v>
      </c>
      <c r="D160" s="105" t="s">
        <v>1529</v>
      </c>
      <c r="E160" s="105" t="s">
        <v>1148</v>
      </c>
      <c r="F160" s="106" t="s">
        <v>1523</v>
      </c>
    </row>
    <row r="161" spans="1:6" x14ac:dyDescent="0.25">
      <c r="A161" s="75" t="s">
        <v>312</v>
      </c>
      <c r="B161" s="118" t="s">
        <v>862</v>
      </c>
      <c r="C161" s="104" t="s">
        <v>1497</v>
      </c>
      <c r="D161" s="105" t="s">
        <v>1530</v>
      </c>
      <c r="E161" s="105" t="s">
        <v>1149</v>
      </c>
      <c r="F161" s="106" t="s">
        <v>1381</v>
      </c>
    </row>
    <row r="162" spans="1:6" x14ac:dyDescent="0.25">
      <c r="A162" s="75" t="s">
        <v>313</v>
      </c>
      <c r="B162" s="118" t="s">
        <v>856</v>
      </c>
      <c r="C162" s="104" t="s">
        <v>1498</v>
      </c>
      <c r="D162" s="105" t="s">
        <v>1531</v>
      </c>
      <c r="E162" s="105" t="s">
        <v>1246</v>
      </c>
      <c r="F162" s="106" t="s">
        <v>1223</v>
      </c>
    </row>
    <row r="163" spans="1:6" x14ac:dyDescent="0.25">
      <c r="A163" s="80" t="s">
        <v>314</v>
      </c>
      <c r="B163" s="118" t="s">
        <v>875</v>
      </c>
      <c r="C163" s="104" t="s">
        <v>1499</v>
      </c>
      <c r="D163" s="105" t="s">
        <v>1532</v>
      </c>
      <c r="E163" s="105" t="s">
        <v>1247</v>
      </c>
      <c r="F163" s="106" t="s">
        <v>1430</v>
      </c>
    </row>
    <row r="164" spans="1:6" x14ac:dyDescent="0.25">
      <c r="A164" s="75" t="s">
        <v>315</v>
      </c>
      <c r="B164" s="118" t="s">
        <v>898</v>
      </c>
      <c r="C164" s="104" t="s">
        <v>1500</v>
      </c>
      <c r="D164" s="105" t="s">
        <v>1144</v>
      </c>
      <c r="E164" s="105" t="s">
        <v>1248</v>
      </c>
      <c r="F164" s="106" t="s">
        <v>1224</v>
      </c>
    </row>
    <row r="165" spans="1:6" x14ac:dyDescent="0.25">
      <c r="A165" s="75" t="s">
        <v>316</v>
      </c>
      <c r="B165" s="118" t="s">
        <v>891</v>
      </c>
      <c r="C165" s="104" t="s">
        <v>1501</v>
      </c>
      <c r="D165" s="105" t="s">
        <v>1145</v>
      </c>
      <c r="E165" s="105" t="s">
        <v>1249</v>
      </c>
      <c r="F165" s="106" t="s">
        <v>1225</v>
      </c>
    </row>
    <row r="166" spans="1:6" x14ac:dyDescent="0.25">
      <c r="A166" s="75" t="s">
        <v>317</v>
      </c>
      <c r="B166" s="118" t="s">
        <v>888</v>
      </c>
      <c r="C166" s="104" t="s">
        <v>1502</v>
      </c>
      <c r="D166" s="105" t="s">
        <v>1146</v>
      </c>
      <c r="E166" s="105" t="s">
        <v>1341</v>
      </c>
      <c r="F166" s="106" t="s">
        <v>1431</v>
      </c>
    </row>
    <row r="167" spans="1:6" x14ac:dyDescent="0.25">
      <c r="A167" s="75" t="s">
        <v>318</v>
      </c>
      <c r="B167" s="118" t="s">
        <v>886</v>
      </c>
      <c r="C167" s="104" t="s">
        <v>1503</v>
      </c>
      <c r="D167" s="105" t="s">
        <v>1242</v>
      </c>
      <c r="E167" s="105" t="s">
        <v>1342</v>
      </c>
      <c r="F167" s="106" t="s">
        <v>1321</v>
      </c>
    </row>
    <row r="168" spans="1:6" x14ac:dyDescent="0.25">
      <c r="A168" s="75" t="s">
        <v>319</v>
      </c>
      <c r="B168" s="118" t="s">
        <v>866</v>
      </c>
      <c r="C168" s="104" t="s">
        <v>1504</v>
      </c>
      <c r="D168" s="105" t="s">
        <v>1243</v>
      </c>
      <c r="E168" s="105" t="s">
        <v>1343</v>
      </c>
      <c r="F168" s="106" t="s">
        <v>1322</v>
      </c>
    </row>
    <row r="169" spans="1:6" x14ac:dyDescent="0.25">
      <c r="A169" s="75" t="s">
        <v>320</v>
      </c>
      <c r="B169" s="118" t="s">
        <v>867</v>
      </c>
      <c r="C169" s="104" t="s">
        <v>1505</v>
      </c>
      <c r="D169" s="105" t="s">
        <v>1244</v>
      </c>
      <c r="E169" s="105" t="s">
        <v>1114</v>
      </c>
      <c r="F169" s="106" t="s">
        <v>1323</v>
      </c>
    </row>
    <row r="170" spans="1:6" x14ac:dyDescent="0.25">
      <c r="A170" s="75" t="s">
        <v>321</v>
      </c>
      <c r="B170" s="119" t="s">
        <v>1774</v>
      </c>
      <c r="C170" s="104" t="s">
        <v>1506</v>
      </c>
      <c r="D170" s="105" t="s">
        <v>1245</v>
      </c>
      <c r="E170" s="105" t="s">
        <v>1115</v>
      </c>
      <c r="F170" s="106" t="s">
        <v>1324</v>
      </c>
    </row>
    <row r="171" spans="1:6" x14ac:dyDescent="0.25">
      <c r="A171" s="75" t="s">
        <v>322</v>
      </c>
      <c r="B171" s="118" t="s">
        <v>841</v>
      </c>
      <c r="C171" s="104" t="s">
        <v>1126</v>
      </c>
      <c r="D171" s="105" t="s">
        <v>1338</v>
      </c>
      <c r="E171" s="105" t="s">
        <v>1420</v>
      </c>
      <c r="F171" s="106" t="s">
        <v>1432</v>
      </c>
    </row>
    <row r="172" spans="1:6" x14ac:dyDescent="0.25">
      <c r="A172" s="75" t="s">
        <v>323</v>
      </c>
      <c r="B172" s="118" t="s">
        <v>842</v>
      </c>
      <c r="C172" s="104" t="s">
        <v>1127</v>
      </c>
      <c r="D172" s="105" t="s">
        <v>1339</v>
      </c>
      <c r="E172" s="105" t="s">
        <v>1116</v>
      </c>
      <c r="F172" s="106" t="s">
        <v>1132</v>
      </c>
    </row>
    <row r="173" spans="1:6" x14ac:dyDescent="0.25">
      <c r="A173" s="80" t="s">
        <v>324</v>
      </c>
      <c r="B173" s="118" t="s">
        <v>843</v>
      </c>
      <c r="C173" s="104" t="s">
        <v>1128</v>
      </c>
      <c r="D173" s="105" t="s">
        <v>1340</v>
      </c>
      <c r="E173" s="105" t="s">
        <v>1202</v>
      </c>
      <c r="F173" s="106" t="s">
        <v>1133</v>
      </c>
    </row>
    <row r="174" spans="1:6" x14ac:dyDescent="0.25">
      <c r="A174" s="75" t="s">
        <v>325</v>
      </c>
      <c r="B174" s="118" t="s">
        <v>844</v>
      </c>
      <c r="C174" s="104" t="s">
        <v>1428</v>
      </c>
      <c r="D174" s="105" t="s">
        <v>1444</v>
      </c>
      <c r="E174" s="105" t="s">
        <v>1203</v>
      </c>
      <c r="F174" s="106" t="s">
        <v>1134</v>
      </c>
    </row>
    <row r="175" spans="1:6" x14ac:dyDescent="0.25">
      <c r="A175" s="75" t="s">
        <v>326</v>
      </c>
      <c r="B175" s="118" t="s">
        <v>845</v>
      </c>
      <c r="C175" s="104" t="s">
        <v>1218</v>
      </c>
      <c r="D175" s="105" t="s">
        <v>1445</v>
      </c>
      <c r="E175" s="105" t="s">
        <v>1204</v>
      </c>
      <c r="F175" s="106" t="s">
        <v>1226</v>
      </c>
    </row>
    <row r="176" spans="1:6" x14ac:dyDescent="0.25">
      <c r="A176" s="75" t="s">
        <v>327</v>
      </c>
      <c r="B176" s="118" t="s">
        <v>846</v>
      </c>
      <c r="C176" s="104" t="s">
        <v>1219</v>
      </c>
      <c r="D176" s="105" t="s">
        <v>1446</v>
      </c>
      <c r="E176" s="105" t="s">
        <v>1205</v>
      </c>
      <c r="F176" s="106" t="s">
        <v>1227</v>
      </c>
    </row>
    <row r="177" spans="1:6" x14ac:dyDescent="0.25">
      <c r="A177" s="75" t="s">
        <v>328</v>
      </c>
      <c r="B177" s="118" t="s">
        <v>847</v>
      </c>
      <c r="C177" s="104" t="s">
        <v>1220</v>
      </c>
      <c r="D177" s="105" t="s">
        <v>1447</v>
      </c>
      <c r="E177" s="105" t="s">
        <v>1421</v>
      </c>
      <c r="F177" s="106" t="s">
        <v>1433</v>
      </c>
    </row>
    <row r="178" spans="1:6" x14ac:dyDescent="0.25">
      <c r="A178" s="75" t="s">
        <v>329</v>
      </c>
      <c r="B178" s="118" t="s">
        <v>848</v>
      </c>
      <c r="C178" s="104" t="s">
        <v>1221</v>
      </c>
      <c r="D178" s="105" t="s">
        <v>1448</v>
      </c>
      <c r="E178" s="105" t="s">
        <v>1302</v>
      </c>
      <c r="F178" s="106" t="s">
        <v>1228</v>
      </c>
    </row>
    <row r="179" spans="1:6" x14ac:dyDescent="0.25">
      <c r="A179" s="75" t="s">
        <v>330</v>
      </c>
      <c r="B179" s="118" t="s">
        <v>849</v>
      </c>
      <c r="C179" s="104" t="s">
        <v>1317</v>
      </c>
      <c r="D179" s="105" t="s">
        <v>1449</v>
      </c>
      <c r="E179" s="105" t="s">
        <v>1303</v>
      </c>
      <c r="F179" s="106" t="s">
        <v>1229</v>
      </c>
    </row>
    <row r="180" spans="1:6" ht="15.75" thickBot="1" x14ac:dyDescent="0.3">
      <c r="A180" s="75" t="s">
        <v>331</v>
      </c>
      <c r="B180" s="120" t="s">
        <v>850</v>
      </c>
      <c r="C180" s="104" t="s">
        <v>1318</v>
      </c>
      <c r="D180" s="105" t="s">
        <v>1450</v>
      </c>
      <c r="E180" s="105" t="s">
        <v>1304</v>
      </c>
      <c r="F180" s="106" t="s">
        <v>1325</v>
      </c>
    </row>
    <row r="181" spans="1:6" x14ac:dyDescent="0.25">
      <c r="A181" s="16" t="s">
        <v>332</v>
      </c>
      <c r="C181" s="104" t="s">
        <v>1429</v>
      </c>
      <c r="D181" s="105" t="s">
        <v>1451</v>
      </c>
      <c r="E181" s="105" t="s">
        <v>1655</v>
      </c>
      <c r="F181" s="106" t="s">
        <v>1326</v>
      </c>
    </row>
    <row r="182" spans="1:6" ht="15.75" thickBot="1" x14ac:dyDescent="0.3">
      <c r="A182" s="17" t="s">
        <v>333</v>
      </c>
      <c r="C182" s="104" t="s">
        <v>1319</v>
      </c>
      <c r="D182" s="105" t="s">
        <v>1452</v>
      </c>
      <c r="E182" s="105"/>
      <c r="F182" s="106" t="s">
        <v>1327</v>
      </c>
    </row>
    <row r="183" spans="1:6" ht="15.75" thickBot="1" x14ac:dyDescent="0.3">
      <c r="C183" s="107" t="s">
        <v>1320</v>
      </c>
      <c r="D183" s="108" t="s">
        <v>1453</v>
      </c>
      <c r="E183" s="108"/>
      <c r="F183" s="109" t="s">
        <v>1328</v>
      </c>
    </row>
    <row r="264" spans="7:7" x14ac:dyDescent="0.25">
      <c r="G264" s="40"/>
    </row>
  </sheetData>
  <sheetProtection password="E9C2" sheet="1" objects="1" scenarios="1" selectLockedCells="1" selectUnlockedCells="1"/>
  <sortState ref="N2:N10">
    <sortCondition ref="N2"/>
  </sortState>
  <mergeCells count="2">
    <mergeCell ref="B32:C32"/>
    <mergeCell ref="D31:E3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sheetPr>
  <dimension ref="A1:S149"/>
  <sheetViews>
    <sheetView topLeftCell="P1" zoomScale="90" zoomScaleNormal="90" zoomScaleSheetLayoutView="75" workbookViewId="0">
      <selection sqref="A1:O1048576"/>
    </sheetView>
  </sheetViews>
  <sheetFormatPr defaultRowHeight="15" x14ac:dyDescent="0.25"/>
  <cols>
    <col min="1" max="1" width="20.140625" style="28" hidden="1" customWidth="1"/>
    <col min="2" max="2" width="17.5703125" style="28" hidden="1" customWidth="1"/>
    <col min="3" max="5" width="10.5703125" style="28" hidden="1" customWidth="1"/>
    <col min="6" max="6" width="10.85546875" style="28" hidden="1" customWidth="1"/>
    <col min="7" max="7" width="9.140625" style="28" hidden="1" customWidth="1"/>
    <col min="8" max="9" width="20.7109375" style="2" hidden="1" customWidth="1"/>
    <col min="10" max="15" width="0" style="28" hidden="1" customWidth="1"/>
    <col min="16" max="16384" width="9.140625" style="28"/>
  </cols>
  <sheetData>
    <row r="1" spans="1:19" x14ac:dyDescent="0.25">
      <c r="A1" s="1" t="s">
        <v>3</v>
      </c>
      <c r="B1" s="1" t="s">
        <v>136</v>
      </c>
      <c r="C1" s="1" t="s">
        <v>158</v>
      </c>
      <c r="D1" s="1" t="s">
        <v>159</v>
      </c>
      <c r="E1" s="1" t="s">
        <v>160</v>
      </c>
      <c r="F1" s="1" t="s">
        <v>161</v>
      </c>
    </row>
    <row r="2" spans="1:19" x14ac:dyDescent="0.25">
      <c r="A2" s="2" t="s">
        <v>59</v>
      </c>
      <c r="B2" s="1"/>
      <c r="C2" s="3"/>
      <c r="D2" s="3"/>
      <c r="E2" s="3"/>
      <c r="F2" s="3"/>
    </row>
    <row r="3" spans="1:19" x14ac:dyDescent="0.25">
      <c r="A3" s="2" t="s">
        <v>162</v>
      </c>
      <c r="B3" s="2" t="s">
        <v>163</v>
      </c>
      <c r="C3" s="2" t="s">
        <v>164</v>
      </c>
      <c r="D3" s="2" t="s">
        <v>165</v>
      </c>
      <c r="E3" s="2" t="s">
        <v>166</v>
      </c>
      <c r="F3" s="2" t="s">
        <v>167</v>
      </c>
    </row>
    <row r="4" spans="1:19" x14ac:dyDescent="0.25">
      <c r="A4" s="2" t="s">
        <v>168</v>
      </c>
      <c r="B4" s="2" t="s">
        <v>169</v>
      </c>
      <c r="C4" s="2" t="s">
        <v>170</v>
      </c>
      <c r="D4" s="2" t="s">
        <v>165</v>
      </c>
      <c r="E4" s="2" t="s">
        <v>171</v>
      </c>
      <c r="F4" s="2" t="s">
        <v>172</v>
      </c>
    </row>
    <row r="5" spans="1:19" x14ac:dyDescent="0.25">
      <c r="A5" s="2" t="s">
        <v>1379</v>
      </c>
      <c r="B5" s="2" t="s">
        <v>1366</v>
      </c>
      <c r="C5" s="2" t="s">
        <v>166</v>
      </c>
      <c r="D5" s="2" t="s">
        <v>178</v>
      </c>
      <c r="E5" s="2" t="s">
        <v>171</v>
      </c>
      <c r="F5" s="2" t="s">
        <v>172</v>
      </c>
      <c r="H5" s="28"/>
      <c r="I5" s="28"/>
    </row>
    <row r="6" spans="1:19" x14ac:dyDescent="0.25">
      <c r="A6" s="2" t="s">
        <v>173</v>
      </c>
      <c r="B6" s="2" t="s">
        <v>174</v>
      </c>
      <c r="C6" s="2" t="s">
        <v>175</v>
      </c>
      <c r="D6" s="2" t="s">
        <v>164</v>
      </c>
      <c r="E6" s="2" t="s">
        <v>170</v>
      </c>
      <c r="F6" s="2" t="s">
        <v>167</v>
      </c>
      <c r="H6" s="28"/>
      <c r="I6" s="28"/>
    </row>
    <row r="7" spans="1:19" x14ac:dyDescent="0.25">
      <c r="A7" s="2" t="s">
        <v>176</v>
      </c>
      <c r="B7" s="2" t="s">
        <v>177</v>
      </c>
      <c r="C7" s="2" t="s">
        <v>170</v>
      </c>
      <c r="D7" s="2" t="s">
        <v>178</v>
      </c>
      <c r="E7" s="2" t="s">
        <v>171</v>
      </c>
      <c r="F7" s="2" t="s">
        <v>172</v>
      </c>
    </row>
    <row r="8" spans="1:19" x14ac:dyDescent="0.25">
      <c r="A8" s="2" t="s">
        <v>179</v>
      </c>
      <c r="B8" s="2" t="s">
        <v>180</v>
      </c>
      <c r="C8" s="2" t="s">
        <v>165</v>
      </c>
      <c r="D8" s="2" t="s">
        <v>178</v>
      </c>
      <c r="E8" s="2" t="s">
        <v>171</v>
      </c>
      <c r="F8" s="2" t="s">
        <v>181</v>
      </c>
    </row>
    <row r="9" spans="1:19" x14ac:dyDescent="0.25">
      <c r="A9" s="2" t="s">
        <v>182</v>
      </c>
      <c r="B9" s="2" t="s">
        <v>87</v>
      </c>
      <c r="C9" s="2" t="s">
        <v>166</v>
      </c>
      <c r="D9" s="2" t="s">
        <v>171</v>
      </c>
      <c r="E9" s="2" t="s">
        <v>172</v>
      </c>
      <c r="F9" s="2" t="s">
        <v>183</v>
      </c>
    </row>
    <row r="10" spans="1:19" x14ac:dyDescent="0.25">
      <c r="A10" s="2" t="s">
        <v>184</v>
      </c>
      <c r="B10" s="2" t="s">
        <v>185</v>
      </c>
      <c r="C10" s="2" t="s">
        <v>178</v>
      </c>
      <c r="D10" s="2" t="s">
        <v>181</v>
      </c>
      <c r="E10" s="2" t="s">
        <v>186</v>
      </c>
      <c r="F10" s="2" t="s">
        <v>183</v>
      </c>
    </row>
    <row r="11" spans="1:19" x14ac:dyDescent="0.25">
      <c r="A11" s="2" t="s">
        <v>187</v>
      </c>
      <c r="B11" s="2" t="s">
        <v>188</v>
      </c>
      <c r="C11" s="2" t="s">
        <v>175</v>
      </c>
      <c r="D11" s="2" t="s">
        <v>178</v>
      </c>
      <c r="E11" s="2" t="s">
        <v>181</v>
      </c>
      <c r="F11" s="2" t="s">
        <v>186</v>
      </c>
    </row>
    <row r="12" spans="1:19" x14ac:dyDescent="0.25">
      <c r="A12" s="2" t="s">
        <v>195</v>
      </c>
      <c r="B12" s="2" t="s">
        <v>196</v>
      </c>
      <c r="C12" s="2" t="s">
        <v>175</v>
      </c>
      <c r="D12" s="2" t="s">
        <v>170</v>
      </c>
      <c r="E12" s="2" t="s">
        <v>165</v>
      </c>
      <c r="F12" s="2" t="s">
        <v>172</v>
      </c>
    </row>
    <row r="13" spans="1:19" x14ac:dyDescent="0.25">
      <c r="A13" s="2" t="s">
        <v>189</v>
      </c>
      <c r="B13" s="2" t="s">
        <v>190</v>
      </c>
      <c r="C13" s="2" t="s">
        <v>164</v>
      </c>
      <c r="D13" s="2" t="s">
        <v>166</v>
      </c>
      <c r="E13" s="2" t="s">
        <v>171</v>
      </c>
      <c r="F13" s="2" t="s">
        <v>186</v>
      </c>
    </row>
    <row r="14" spans="1:19" x14ac:dyDescent="0.25">
      <c r="A14" s="2" t="s">
        <v>193</v>
      </c>
      <c r="B14" s="2" t="s">
        <v>194</v>
      </c>
      <c r="C14" s="2" t="s">
        <v>175</v>
      </c>
      <c r="D14" s="2" t="s">
        <v>170</v>
      </c>
      <c r="E14" s="2" t="s">
        <v>171</v>
      </c>
      <c r="F14" s="2" t="s">
        <v>172</v>
      </c>
    </row>
    <row r="15" spans="1:19" x14ac:dyDescent="0.25">
      <c r="A15" s="2" t="s">
        <v>191</v>
      </c>
      <c r="B15" s="2" t="s">
        <v>192</v>
      </c>
      <c r="C15" s="2" t="s">
        <v>175</v>
      </c>
      <c r="D15" s="2" t="s">
        <v>170</v>
      </c>
      <c r="E15" s="2" t="s">
        <v>166</v>
      </c>
      <c r="F15" s="2" t="s">
        <v>172</v>
      </c>
    </row>
    <row r="16" spans="1:19" x14ac:dyDescent="0.25">
      <c r="O16" s="2"/>
      <c r="P16" s="2"/>
      <c r="Q16" s="2"/>
      <c r="R16" s="2"/>
      <c r="S16" s="2"/>
    </row>
    <row r="17" spans="1:19" x14ac:dyDescent="0.25">
      <c r="A17" s="1" t="s">
        <v>59</v>
      </c>
      <c r="B17" s="1" t="s">
        <v>197</v>
      </c>
      <c r="C17" s="1" t="s">
        <v>198</v>
      </c>
      <c r="D17" s="1" t="s">
        <v>199</v>
      </c>
      <c r="E17" s="1" t="s">
        <v>200</v>
      </c>
      <c r="F17" s="1" t="s">
        <v>201</v>
      </c>
      <c r="G17" s="1" t="s">
        <v>202</v>
      </c>
      <c r="H17" s="1" t="s">
        <v>64</v>
      </c>
      <c r="I17" s="1" t="s">
        <v>63</v>
      </c>
      <c r="O17" s="2"/>
      <c r="P17" s="2"/>
      <c r="Q17" s="2"/>
      <c r="R17" s="2"/>
      <c r="S17" s="2"/>
    </row>
    <row r="18" spans="1:19" x14ac:dyDescent="0.25">
      <c r="A18" s="172" t="s">
        <v>295</v>
      </c>
      <c r="B18" s="172" t="s">
        <v>36</v>
      </c>
      <c r="C18" s="172" t="s">
        <v>55</v>
      </c>
      <c r="D18" s="172" t="s">
        <v>41</v>
      </c>
      <c r="E18" s="172" t="s">
        <v>47</v>
      </c>
      <c r="F18" s="172" t="s">
        <v>49</v>
      </c>
      <c r="G18" s="172" t="s">
        <v>51</v>
      </c>
      <c r="H18" s="172" t="s">
        <v>525</v>
      </c>
      <c r="I18" s="172" t="s">
        <v>602</v>
      </c>
      <c r="O18" s="2"/>
      <c r="P18" s="2"/>
      <c r="Q18" s="2"/>
      <c r="R18" s="2"/>
      <c r="S18" s="2"/>
    </row>
    <row r="19" spans="1:19" x14ac:dyDescent="0.25">
      <c r="A19" s="172" t="s">
        <v>249</v>
      </c>
      <c r="B19" s="172" t="s">
        <v>38</v>
      </c>
      <c r="C19" s="172" t="s">
        <v>40</v>
      </c>
      <c r="D19" s="172" t="s">
        <v>56</v>
      </c>
      <c r="E19" s="172" t="s">
        <v>41</v>
      </c>
      <c r="F19" s="172" t="s">
        <v>51</v>
      </c>
      <c r="G19" s="172" t="s">
        <v>52</v>
      </c>
      <c r="H19" s="172" t="s">
        <v>617</v>
      </c>
      <c r="I19" s="172" t="s">
        <v>618</v>
      </c>
      <c r="O19" s="2"/>
      <c r="P19" s="2"/>
      <c r="Q19" s="2"/>
      <c r="R19" s="2"/>
      <c r="S19" s="2"/>
    </row>
    <row r="20" spans="1:19" x14ac:dyDescent="0.25">
      <c r="A20" s="172" t="s">
        <v>219</v>
      </c>
      <c r="B20" s="172" t="s">
        <v>55</v>
      </c>
      <c r="C20" s="172" t="s">
        <v>38</v>
      </c>
      <c r="D20" s="172" t="s">
        <v>57</v>
      </c>
      <c r="E20" s="172" t="s">
        <v>41</v>
      </c>
      <c r="F20" s="172" t="s">
        <v>43</v>
      </c>
      <c r="G20" s="172" t="s">
        <v>51</v>
      </c>
      <c r="H20" s="172" t="s">
        <v>584</v>
      </c>
      <c r="I20" s="172" t="s">
        <v>585</v>
      </c>
      <c r="O20" s="2"/>
      <c r="P20" s="2"/>
      <c r="Q20" s="2"/>
      <c r="R20" s="2"/>
      <c r="S20" s="2"/>
    </row>
    <row r="21" spans="1:19" x14ac:dyDescent="0.25">
      <c r="A21" s="172" t="s">
        <v>1359</v>
      </c>
      <c r="B21" s="172" t="s">
        <v>41</v>
      </c>
      <c r="C21" s="172" t="s">
        <v>43</v>
      </c>
      <c r="D21" s="172" t="s">
        <v>47</v>
      </c>
      <c r="E21" s="172" t="s">
        <v>51</v>
      </c>
      <c r="F21" s="172" t="s">
        <v>58</v>
      </c>
      <c r="G21" s="172" t="s">
        <v>53</v>
      </c>
      <c r="H21" s="172" t="s">
        <v>1367</v>
      </c>
      <c r="I21" s="172" t="s">
        <v>1368</v>
      </c>
      <c r="O21" s="2"/>
      <c r="P21" s="2"/>
      <c r="Q21" s="2"/>
      <c r="R21" s="2"/>
      <c r="S21" s="2"/>
    </row>
    <row r="22" spans="1:19" x14ac:dyDescent="0.25">
      <c r="A22" s="172" t="s">
        <v>304</v>
      </c>
      <c r="B22" s="172" t="s">
        <v>35</v>
      </c>
      <c r="C22" s="172" t="s">
        <v>39</v>
      </c>
      <c r="D22" s="172" t="s">
        <v>41</v>
      </c>
      <c r="E22" s="172" t="s">
        <v>42</v>
      </c>
      <c r="F22" s="172" t="s">
        <v>47</v>
      </c>
      <c r="G22" s="172" t="s">
        <v>50</v>
      </c>
      <c r="H22" s="172" t="s">
        <v>660</v>
      </c>
      <c r="I22" s="172" t="s">
        <v>661</v>
      </c>
      <c r="O22" s="2"/>
      <c r="P22" s="2"/>
      <c r="Q22" s="2"/>
      <c r="R22" s="2"/>
      <c r="S22" s="2"/>
    </row>
    <row r="23" spans="1:19" x14ac:dyDescent="0.25">
      <c r="A23" s="172" t="s">
        <v>284</v>
      </c>
      <c r="B23" s="172" t="s">
        <v>36</v>
      </c>
      <c r="C23" s="172" t="s">
        <v>41</v>
      </c>
      <c r="D23" s="172" t="s">
        <v>43</v>
      </c>
      <c r="E23" s="172" t="s">
        <v>47</v>
      </c>
      <c r="F23" s="172" t="s">
        <v>48</v>
      </c>
      <c r="G23" s="172" t="s">
        <v>49</v>
      </c>
      <c r="H23" s="172" t="s">
        <v>516</v>
      </c>
      <c r="I23" s="172" t="s">
        <v>517</v>
      </c>
      <c r="O23" s="2"/>
      <c r="P23" s="2"/>
      <c r="Q23" s="2"/>
      <c r="R23" s="2"/>
      <c r="S23" s="2"/>
    </row>
    <row r="24" spans="1:19" x14ac:dyDescent="0.25">
      <c r="A24" s="172" t="s">
        <v>261</v>
      </c>
      <c r="B24" s="172" t="s">
        <v>36</v>
      </c>
      <c r="C24" s="172" t="s">
        <v>55</v>
      </c>
      <c r="D24" s="172" t="s">
        <v>41</v>
      </c>
      <c r="E24" s="172" t="s">
        <v>43</v>
      </c>
      <c r="F24" s="172" t="s">
        <v>45</v>
      </c>
      <c r="G24" s="172" t="s">
        <v>51</v>
      </c>
      <c r="H24" s="172" t="s">
        <v>535</v>
      </c>
      <c r="I24" s="172" t="s">
        <v>508</v>
      </c>
      <c r="O24" s="2"/>
      <c r="P24" s="2"/>
      <c r="Q24" s="2"/>
      <c r="R24" s="2"/>
      <c r="S24" s="2"/>
    </row>
    <row r="25" spans="1:19" x14ac:dyDescent="0.25">
      <c r="A25" s="172" t="s">
        <v>262</v>
      </c>
      <c r="B25" s="172" t="s">
        <v>55</v>
      </c>
      <c r="C25" s="172" t="s">
        <v>37</v>
      </c>
      <c r="D25" s="172" t="s">
        <v>47</v>
      </c>
      <c r="E25" s="172" t="s">
        <v>46</v>
      </c>
      <c r="F25" s="172" t="s">
        <v>51</v>
      </c>
      <c r="G25" s="172" t="s">
        <v>58</v>
      </c>
      <c r="H25" s="172" t="s">
        <v>543</v>
      </c>
      <c r="I25" s="172" t="s">
        <v>544</v>
      </c>
      <c r="O25" s="2"/>
      <c r="P25" s="2"/>
      <c r="Q25" s="2"/>
      <c r="R25" s="2"/>
      <c r="S25" s="2"/>
    </row>
    <row r="26" spans="1:19" x14ac:dyDescent="0.25">
      <c r="A26" s="172" t="s">
        <v>305</v>
      </c>
      <c r="B26" s="172" t="s">
        <v>35</v>
      </c>
      <c r="C26" s="172" t="s">
        <v>37</v>
      </c>
      <c r="D26" s="172" t="s">
        <v>41</v>
      </c>
      <c r="E26" s="172" t="s">
        <v>44</v>
      </c>
      <c r="F26" s="172" t="s">
        <v>45</v>
      </c>
      <c r="G26" s="172" t="s">
        <v>52</v>
      </c>
      <c r="H26" s="172" t="s">
        <v>662</v>
      </c>
      <c r="I26" s="172" t="s">
        <v>663</v>
      </c>
      <c r="O26" s="2"/>
      <c r="P26" s="2"/>
      <c r="Q26" s="2"/>
      <c r="R26" s="2"/>
      <c r="S26" s="2"/>
    </row>
    <row r="27" spans="1:19" x14ac:dyDescent="0.25">
      <c r="A27" s="172" t="s">
        <v>263</v>
      </c>
      <c r="B27" s="172" t="s">
        <v>39</v>
      </c>
      <c r="C27" s="172" t="s">
        <v>40</v>
      </c>
      <c r="D27" s="172" t="s">
        <v>46</v>
      </c>
      <c r="E27" s="172" t="s">
        <v>48</v>
      </c>
      <c r="F27" s="172" t="s">
        <v>51</v>
      </c>
      <c r="G27" s="172" t="s">
        <v>54</v>
      </c>
      <c r="H27" s="172" t="s">
        <v>532</v>
      </c>
      <c r="I27" s="172" t="s">
        <v>380</v>
      </c>
      <c r="O27" s="2"/>
      <c r="P27" s="2"/>
      <c r="Q27" s="2"/>
      <c r="R27" s="2"/>
      <c r="S27" s="2"/>
    </row>
    <row r="28" spans="1:19" x14ac:dyDescent="0.25">
      <c r="A28" s="172" t="s">
        <v>264</v>
      </c>
      <c r="B28" s="172" t="s">
        <v>36</v>
      </c>
      <c r="C28" s="172" t="s">
        <v>38</v>
      </c>
      <c r="D28" s="172" t="s">
        <v>41</v>
      </c>
      <c r="E28" s="172" t="s">
        <v>42</v>
      </c>
      <c r="F28" s="172" t="s">
        <v>46</v>
      </c>
      <c r="G28" s="172" t="s">
        <v>53</v>
      </c>
      <c r="H28" s="172" t="s">
        <v>545</v>
      </c>
      <c r="I28" s="172" t="s">
        <v>546</v>
      </c>
      <c r="O28" s="2"/>
      <c r="P28" s="2"/>
      <c r="Q28" s="2"/>
      <c r="R28" s="2"/>
      <c r="S28" s="2"/>
    </row>
    <row r="29" spans="1:19" x14ac:dyDescent="0.25">
      <c r="A29" s="172" t="s">
        <v>265</v>
      </c>
      <c r="B29" s="172" t="s">
        <v>35</v>
      </c>
      <c r="C29" s="172" t="s">
        <v>40</v>
      </c>
      <c r="D29" s="172" t="s">
        <v>57</v>
      </c>
      <c r="E29" s="172" t="s">
        <v>48</v>
      </c>
      <c r="F29" s="172" t="s">
        <v>44</v>
      </c>
      <c r="G29" s="172" t="s">
        <v>58</v>
      </c>
      <c r="H29" s="172" t="s">
        <v>547</v>
      </c>
      <c r="I29" s="172" t="s">
        <v>548</v>
      </c>
      <c r="O29" s="2"/>
      <c r="P29" s="2"/>
      <c r="Q29" s="2"/>
      <c r="R29" s="2"/>
      <c r="S29" s="2"/>
    </row>
    <row r="30" spans="1:19" x14ac:dyDescent="0.25">
      <c r="A30" s="172" t="s">
        <v>285</v>
      </c>
      <c r="B30" s="172" t="s">
        <v>35</v>
      </c>
      <c r="C30" s="172" t="s">
        <v>55</v>
      </c>
      <c r="D30" s="172" t="s">
        <v>42</v>
      </c>
      <c r="E30" s="172" t="s">
        <v>44</v>
      </c>
      <c r="F30" s="172" t="s">
        <v>50</v>
      </c>
      <c r="G30" s="172" t="s">
        <v>51</v>
      </c>
      <c r="H30" s="172" t="s">
        <v>518</v>
      </c>
      <c r="I30" s="172" t="s">
        <v>519</v>
      </c>
      <c r="O30" s="2"/>
      <c r="P30" s="2"/>
      <c r="Q30" s="2"/>
      <c r="R30" s="2"/>
      <c r="S30" s="2"/>
    </row>
    <row r="31" spans="1:19" x14ac:dyDescent="0.25">
      <c r="A31" s="172" t="s">
        <v>331</v>
      </c>
      <c r="B31" s="172" t="s">
        <v>36</v>
      </c>
      <c r="C31" s="172" t="s">
        <v>38</v>
      </c>
      <c r="D31" s="172" t="s">
        <v>57</v>
      </c>
      <c r="E31" s="172" t="s">
        <v>47</v>
      </c>
      <c r="F31" s="172" t="s">
        <v>49</v>
      </c>
      <c r="G31" s="172" t="s">
        <v>52</v>
      </c>
      <c r="H31" s="172" t="s">
        <v>629</v>
      </c>
      <c r="I31" s="172" t="s">
        <v>698</v>
      </c>
      <c r="O31" s="2"/>
      <c r="P31" s="2"/>
      <c r="Q31" s="2"/>
      <c r="R31" s="2"/>
      <c r="S31" s="2"/>
    </row>
    <row r="32" spans="1:19" x14ac:dyDescent="0.25">
      <c r="A32" s="172" t="s">
        <v>1360</v>
      </c>
      <c r="B32" s="172" t="s">
        <v>35</v>
      </c>
      <c r="C32" s="172" t="s">
        <v>38</v>
      </c>
      <c r="D32" s="172" t="s">
        <v>56</v>
      </c>
      <c r="E32" s="172" t="s">
        <v>44</v>
      </c>
      <c r="F32" s="172" t="s">
        <v>58</v>
      </c>
      <c r="G32" s="172" t="s">
        <v>53</v>
      </c>
      <c r="H32" s="172" t="s">
        <v>1369</v>
      </c>
      <c r="I32" s="172" t="s">
        <v>1370</v>
      </c>
      <c r="O32" s="2"/>
      <c r="P32" s="2"/>
      <c r="Q32" s="2"/>
      <c r="R32" s="2"/>
      <c r="S32" s="2"/>
    </row>
    <row r="33" spans="1:19" x14ac:dyDescent="0.25">
      <c r="A33" s="172" t="s">
        <v>204</v>
      </c>
      <c r="B33" s="172" t="s">
        <v>55</v>
      </c>
      <c r="C33" s="172" t="s">
        <v>37</v>
      </c>
      <c r="D33" s="172" t="s">
        <v>39</v>
      </c>
      <c r="E33" s="172" t="s">
        <v>48</v>
      </c>
      <c r="F33" s="172" t="s">
        <v>46</v>
      </c>
      <c r="G33" s="172" t="s">
        <v>51</v>
      </c>
      <c r="H33" s="172" t="s">
        <v>543</v>
      </c>
      <c r="I33" s="172" t="s">
        <v>560</v>
      </c>
      <c r="O33" s="2"/>
      <c r="P33" s="2"/>
      <c r="Q33" s="2"/>
      <c r="R33" s="2"/>
      <c r="S33" s="2"/>
    </row>
    <row r="34" spans="1:19" x14ac:dyDescent="0.25">
      <c r="A34" s="172" t="s">
        <v>276</v>
      </c>
      <c r="B34" s="172" t="s">
        <v>40</v>
      </c>
      <c r="C34" s="172" t="s">
        <v>42</v>
      </c>
      <c r="D34" s="172" t="s">
        <v>43</v>
      </c>
      <c r="E34" s="172" t="s">
        <v>49</v>
      </c>
      <c r="F34" s="172" t="s">
        <v>50</v>
      </c>
      <c r="G34" s="172" t="s">
        <v>51</v>
      </c>
      <c r="H34" s="172" t="s">
        <v>562</v>
      </c>
      <c r="I34" s="172" t="s">
        <v>594</v>
      </c>
      <c r="O34" s="2"/>
      <c r="P34" s="2"/>
      <c r="Q34" s="2"/>
      <c r="R34" s="2"/>
      <c r="S34" s="2"/>
    </row>
    <row r="35" spans="1:19" x14ac:dyDescent="0.25">
      <c r="A35" s="172" t="s">
        <v>286</v>
      </c>
      <c r="B35" s="172" t="s">
        <v>37</v>
      </c>
      <c r="C35" s="172" t="s">
        <v>38</v>
      </c>
      <c r="D35" s="172" t="s">
        <v>39</v>
      </c>
      <c r="E35" s="172" t="s">
        <v>45</v>
      </c>
      <c r="F35" s="172" t="s">
        <v>52</v>
      </c>
      <c r="G35" s="172" t="s">
        <v>53</v>
      </c>
      <c r="H35" s="172" t="s">
        <v>520</v>
      </c>
      <c r="I35" s="172" t="s">
        <v>928</v>
      </c>
      <c r="O35" s="2"/>
      <c r="P35" s="2"/>
      <c r="Q35" s="2"/>
      <c r="R35" s="2"/>
      <c r="S35" s="2"/>
    </row>
    <row r="36" spans="1:19" x14ac:dyDescent="0.25">
      <c r="A36" s="172" t="s">
        <v>315</v>
      </c>
      <c r="B36" s="172" t="s">
        <v>35</v>
      </c>
      <c r="C36" s="172" t="s">
        <v>55</v>
      </c>
      <c r="D36" s="172" t="s">
        <v>57</v>
      </c>
      <c r="E36" s="172" t="s">
        <v>41</v>
      </c>
      <c r="F36" s="172" t="s">
        <v>47</v>
      </c>
      <c r="G36" s="172" t="s">
        <v>50</v>
      </c>
      <c r="H36" s="172" t="s">
        <v>679</v>
      </c>
      <c r="I36" s="172" t="s">
        <v>115</v>
      </c>
      <c r="O36" s="2"/>
      <c r="P36" s="2"/>
      <c r="Q36" s="2"/>
      <c r="R36" s="2"/>
      <c r="S36" s="2"/>
    </row>
    <row r="37" spans="1:19" x14ac:dyDescent="0.25">
      <c r="A37" s="172" t="s">
        <v>250</v>
      </c>
      <c r="B37" s="172" t="s">
        <v>35</v>
      </c>
      <c r="C37" s="172" t="s">
        <v>55</v>
      </c>
      <c r="D37" s="172" t="s">
        <v>57</v>
      </c>
      <c r="E37" s="172" t="s">
        <v>41</v>
      </c>
      <c r="F37" s="172" t="s">
        <v>43</v>
      </c>
      <c r="G37" s="172" t="s">
        <v>58</v>
      </c>
      <c r="H37" s="172" t="s">
        <v>619</v>
      </c>
      <c r="I37" s="172" t="s">
        <v>620</v>
      </c>
      <c r="O37" s="2"/>
      <c r="P37" s="2"/>
      <c r="Q37" s="2"/>
      <c r="R37" s="2"/>
      <c r="S37" s="2"/>
    </row>
    <row r="38" spans="1:19" x14ac:dyDescent="0.25">
      <c r="A38" s="172" t="s">
        <v>316</v>
      </c>
      <c r="B38" s="172" t="s">
        <v>38</v>
      </c>
      <c r="C38" s="172" t="s">
        <v>41</v>
      </c>
      <c r="D38" s="172" t="s">
        <v>44</v>
      </c>
      <c r="E38" s="172" t="s">
        <v>45</v>
      </c>
      <c r="F38" s="172" t="s">
        <v>52</v>
      </c>
      <c r="G38" s="172" t="s">
        <v>53</v>
      </c>
      <c r="H38" s="172" t="s">
        <v>617</v>
      </c>
      <c r="I38" s="172" t="s">
        <v>680</v>
      </c>
      <c r="O38" s="2"/>
      <c r="P38" s="2"/>
      <c r="Q38" s="2"/>
      <c r="R38" s="2"/>
      <c r="S38" s="2"/>
    </row>
    <row r="39" spans="1:19" x14ac:dyDescent="0.25">
      <c r="A39" s="172" t="s">
        <v>296</v>
      </c>
      <c r="B39" s="172" t="s">
        <v>55</v>
      </c>
      <c r="C39" s="172" t="s">
        <v>57</v>
      </c>
      <c r="D39" s="172" t="s">
        <v>41</v>
      </c>
      <c r="E39" s="172" t="s">
        <v>43</v>
      </c>
      <c r="F39" s="172" t="s">
        <v>47</v>
      </c>
      <c r="G39" s="172" t="s">
        <v>48</v>
      </c>
      <c r="H39" s="172" t="s">
        <v>532</v>
      </c>
      <c r="I39" s="172" t="s">
        <v>603</v>
      </c>
      <c r="O39" s="2"/>
      <c r="P39" s="2"/>
      <c r="Q39" s="2"/>
      <c r="R39" s="2"/>
      <c r="S39" s="2"/>
    </row>
    <row r="40" spans="1:19" x14ac:dyDescent="0.25">
      <c r="A40" s="172" t="s">
        <v>266</v>
      </c>
      <c r="B40" s="172" t="s">
        <v>40</v>
      </c>
      <c r="C40" s="172" t="s">
        <v>43</v>
      </c>
      <c r="D40" s="172" t="s">
        <v>44</v>
      </c>
      <c r="E40" s="172" t="s">
        <v>45</v>
      </c>
      <c r="F40" s="172" t="s">
        <v>50</v>
      </c>
      <c r="G40" s="172" t="s">
        <v>51</v>
      </c>
      <c r="H40" s="172" t="s">
        <v>566</v>
      </c>
      <c r="I40" s="172" t="s">
        <v>677</v>
      </c>
      <c r="O40" s="2"/>
      <c r="P40" s="2"/>
      <c r="Q40" s="2"/>
      <c r="R40" s="2"/>
      <c r="S40" s="2"/>
    </row>
    <row r="41" spans="1:19" x14ac:dyDescent="0.25">
      <c r="A41" s="172" t="s">
        <v>236</v>
      </c>
      <c r="B41" s="172" t="s">
        <v>38</v>
      </c>
      <c r="C41" s="172" t="s">
        <v>41</v>
      </c>
      <c r="D41" s="172" t="s">
        <v>43</v>
      </c>
      <c r="E41" s="172" t="s">
        <v>44</v>
      </c>
      <c r="F41" s="172" t="s">
        <v>45</v>
      </c>
      <c r="G41" s="172" t="s">
        <v>51</v>
      </c>
      <c r="H41" s="172" t="s">
        <v>640</v>
      </c>
      <c r="I41" s="172" t="s">
        <v>641</v>
      </c>
      <c r="O41" s="2"/>
      <c r="P41" s="2"/>
      <c r="Q41" s="2"/>
      <c r="R41" s="2"/>
      <c r="S41" s="2"/>
    </row>
    <row r="42" spans="1:19" x14ac:dyDescent="0.25">
      <c r="A42" s="172" t="s">
        <v>317</v>
      </c>
      <c r="B42" s="172" t="s">
        <v>38</v>
      </c>
      <c r="C42" s="172" t="s">
        <v>56</v>
      </c>
      <c r="D42" s="172" t="s">
        <v>42</v>
      </c>
      <c r="E42" s="172" t="s">
        <v>44</v>
      </c>
      <c r="F42" s="172" t="s">
        <v>58</v>
      </c>
      <c r="G42" s="172" t="s">
        <v>53</v>
      </c>
      <c r="H42" s="172" t="s">
        <v>681</v>
      </c>
      <c r="I42" s="172" t="s">
        <v>682</v>
      </c>
      <c r="O42" s="2"/>
      <c r="P42" s="2"/>
      <c r="Q42" s="2"/>
      <c r="R42" s="2"/>
      <c r="S42" s="2"/>
    </row>
    <row r="43" spans="1:19" x14ac:dyDescent="0.25">
      <c r="A43" s="172" t="s">
        <v>702</v>
      </c>
      <c r="B43" s="172" t="s">
        <v>36</v>
      </c>
      <c r="C43" s="172" t="s">
        <v>40</v>
      </c>
      <c r="D43" s="172" t="s">
        <v>42</v>
      </c>
      <c r="E43" s="172" t="s">
        <v>48</v>
      </c>
      <c r="F43" s="172" t="s">
        <v>51</v>
      </c>
      <c r="G43" s="172" t="s">
        <v>54</v>
      </c>
      <c r="H43" s="172" t="s">
        <v>571</v>
      </c>
      <c r="I43" s="172" t="s">
        <v>604</v>
      </c>
      <c r="O43" s="2"/>
      <c r="P43" s="2"/>
      <c r="Q43" s="2"/>
      <c r="R43" s="2"/>
      <c r="S43" s="2"/>
    </row>
    <row r="44" spans="1:19" x14ac:dyDescent="0.25">
      <c r="A44" s="172" t="s">
        <v>277</v>
      </c>
      <c r="B44" s="172" t="s">
        <v>36</v>
      </c>
      <c r="C44" s="172" t="s">
        <v>38</v>
      </c>
      <c r="D44" s="172" t="s">
        <v>39</v>
      </c>
      <c r="E44" s="172" t="s">
        <v>41</v>
      </c>
      <c r="F44" s="172" t="s">
        <v>47</v>
      </c>
      <c r="G44" s="172" t="s">
        <v>58</v>
      </c>
      <c r="H44" s="172" t="s">
        <v>562</v>
      </c>
      <c r="I44" s="172" t="s">
        <v>595</v>
      </c>
      <c r="O44" s="2"/>
      <c r="P44" s="2"/>
      <c r="Q44" s="2"/>
      <c r="R44" s="2"/>
      <c r="S44" s="2"/>
    </row>
    <row r="45" spans="1:19" x14ac:dyDescent="0.25">
      <c r="A45" s="172" t="s">
        <v>297</v>
      </c>
      <c r="B45" s="172" t="s">
        <v>36</v>
      </c>
      <c r="C45" s="172" t="s">
        <v>38</v>
      </c>
      <c r="D45" s="172" t="s">
        <v>40</v>
      </c>
      <c r="E45" s="172" t="s">
        <v>41</v>
      </c>
      <c r="F45" s="172" t="s">
        <v>42</v>
      </c>
      <c r="G45" s="172" t="s">
        <v>43</v>
      </c>
      <c r="H45" s="172" t="s">
        <v>605</v>
      </c>
      <c r="I45" s="172" t="s">
        <v>606</v>
      </c>
      <c r="O45" s="2"/>
      <c r="P45" s="2"/>
      <c r="Q45" s="2"/>
      <c r="R45" s="2"/>
      <c r="S45" s="2"/>
    </row>
    <row r="46" spans="1:19" x14ac:dyDescent="0.25">
      <c r="A46" s="172" t="s">
        <v>328</v>
      </c>
      <c r="B46" s="172" t="s">
        <v>40</v>
      </c>
      <c r="C46" s="172" t="s">
        <v>56</v>
      </c>
      <c r="D46" s="172" t="s">
        <v>44</v>
      </c>
      <c r="E46" s="172" t="s">
        <v>46</v>
      </c>
      <c r="F46" s="172" t="s">
        <v>48</v>
      </c>
      <c r="G46" s="172" t="s">
        <v>51</v>
      </c>
      <c r="H46" s="172" t="s">
        <v>662</v>
      </c>
      <c r="I46" s="172" t="s">
        <v>596</v>
      </c>
      <c r="O46" s="2"/>
      <c r="P46" s="2"/>
      <c r="Q46" s="2"/>
      <c r="R46" s="2"/>
      <c r="S46" s="2"/>
    </row>
    <row r="47" spans="1:19" x14ac:dyDescent="0.25">
      <c r="A47" s="172" t="s">
        <v>1361</v>
      </c>
      <c r="B47" s="172" t="s">
        <v>38</v>
      </c>
      <c r="C47" s="172" t="s">
        <v>41</v>
      </c>
      <c r="D47" s="172" t="s">
        <v>43</v>
      </c>
      <c r="E47" s="172" t="s">
        <v>45</v>
      </c>
      <c r="F47" s="172" t="s">
        <v>49</v>
      </c>
      <c r="G47" s="172" t="s">
        <v>52</v>
      </c>
      <c r="H47" s="172" t="s">
        <v>1371</v>
      </c>
      <c r="I47" s="172" t="s">
        <v>1372</v>
      </c>
      <c r="O47" s="2"/>
      <c r="P47" s="2"/>
      <c r="Q47" s="2"/>
      <c r="R47" s="2"/>
      <c r="S47" s="2"/>
    </row>
    <row r="48" spans="1:19" x14ac:dyDescent="0.25">
      <c r="A48" s="172" t="s">
        <v>298</v>
      </c>
      <c r="B48" s="172" t="s">
        <v>57</v>
      </c>
      <c r="C48" s="172" t="s">
        <v>41</v>
      </c>
      <c r="D48" s="172" t="s">
        <v>47</v>
      </c>
      <c r="E48" s="172" t="s">
        <v>49</v>
      </c>
      <c r="F48" s="172" t="s">
        <v>51</v>
      </c>
      <c r="G48" s="172" t="s">
        <v>53</v>
      </c>
      <c r="H48" s="172" t="s">
        <v>607</v>
      </c>
      <c r="I48" s="172" t="s">
        <v>608</v>
      </c>
      <c r="O48" s="2"/>
      <c r="P48" s="2"/>
      <c r="Q48" s="2"/>
      <c r="R48" s="2"/>
      <c r="S48" s="2"/>
    </row>
    <row r="49" spans="1:19" x14ac:dyDescent="0.25">
      <c r="A49" s="172" t="s">
        <v>267</v>
      </c>
      <c r="B49" s="172" t="s">
        <v>55</v>
      </c>
      <c r="C49" s="172" t="s">
        <v>41</v>
      </c>
      <c r="D49" s="172" t="s">
        <v>43</v>
      </c>
      <c r="E49" s="172" t="s">
        <v>42</v>
      </c>
      <c r="F49" s="172" t="s">
        <v>49</v>
      </c>
      <c r="G49" s="172" t="s">
        <v>51</v>
      </c>
      <c r="H49" s="172" t="s">
        <v>549</v>
      </c>
      <c r="I49" s="172" t="s">
        <v>550</v>
      </c>
      <c r="O49" s="2"/>
      <c r="P49" s="2"/>
      <c r="Q49" s="2"/>
      <c r="R49" s="2"/>
      <c r="S49" s="2"/>
    </row>
    <row r="50" spans="1:19" x14ac:dyDescent="0.25">
      <c r="A50" s="172" t="s">
        <v>278</v>
      </c>
      <c r="B50" s="172" t="s">
        <v>55</v>
      </c>
      <c r="C50" s="172" t="s">
        <v>37</v>
      </c>
      <c r="D50" s="172" t="s">
        <v>41</v>
      </c>
      <c r="E50" s="172" t="s">
        <v>43</v>
      </c>
      <c r="F50" s="172" t="s">
        <v>51</v>
      </c>
      <c r="G50" s="172" t="s">
        <v>53</v>
      </c>
      <c r="H50" s="172" t="s">
        <v>543</v>
      </c>
      <c r="I50" s="172" t="s">
        <v>596</v>
      </c>
      <c r="O50" s="2"/>
      <c r="P50" s="2"/>
      <c r="Q50" s="2"/>
      <c r="R50" s="2"/>
      <c r="S50" s="2"/>
    </row>
    <row r="51" spans="1:19" x14ac:dyDescent="0.25">
      <c r="A51" s="172" t="s">
        <v>205</v>
      </c>
      <c r="B51" s="172" t="s">
        <v>55</v>
      </c>
      <c r="C51" s="172" t="s">
        <v>57</v>
      </c>
      <c r="D51" s="172" t="s">
        <v>41</v>
      </c>
      <c r="E51" s="172" t="s">
        <v>43</v>
      </c>
      <c r="F51" s="172" t="s">
        <v>48</v>
      </c>
      <c r="G51" s="172" t="s">
        <v>51</v>
      </c>
      <c r="H51" s="172" t="s">
        <v>543</v>
      </c>
      <c r="I51" s="172" t="s">
        <v>561</v>
      </c>
      <c r="O51" s="2"/>
      <c r="P51" s="2"/>
      <c r="Q51" s="2"/>
      <c r="R51" s="2"/>
      <c r="S51" s="2"/>
    </row>
    <row r="52" spans="1:19" x14ac:dyDescent="0.25">
      <c r="A52" s="172" t="s">
        <v>206</v>
      </c>
      <c r="B52" s="172" t="s">
        <v>36</v>
      </c>
      <c r="C52" s="172" t="s">
        <v>39</v>
      </c>
      <c r="D52" s="172" t="s">
        <v>56</v>
      </c>
      <c r="E52" s="172" t="s">
        <v>42</v>
      </c>
      <c r="F52" s="172" t="s">
        <v>44</v>
      </c>
      <c r="G52" s="172" t="s">
        <v>51</v>
      </c>
      <c r="H52" s="172" t="s">
        <v>562</v>
      </c>
      <c r="I52" s="172" t="s">
        <v>563</v>
      </c>
      <c r="O52" s="2"/>
      <c r="P52" s="2"/>
      <c r="Q52" s="2"/>
      <c r="R52" s="2"/>
      <c r="S52" s="2"/>
    </row>
    <row r="53" spans="1:19" x14ac:dyDescent="0.25">
      <c r="A53" s="172" t="s">
        <v>207</v>
      </c>
      <c r="B53" s="172" t="s">
        <v>35</v>
      </c>
      <c r="C53" s="172" t="s">
        <v>40</v>
      </c>
      <c r="D53" s="172" t="s">
        <v>42</v>
      </c>
      <c r="E53" s="172" t="s">
        <v>47</v>
      </c>
      <c r="F53" s="172" t="s">
        <v>49</v>
      </c>
      <c r="G53" s="172" t="s">
        <v>58</v>
      </c>
      <c r="H53" s="172" t="s">
        <v>564</v>
      </c>
      <c r="I53" s="172" t="s">
        <v>565</v>
      </c>
      <c r="O53" s="2"/>
      <c r="P53" s="2"/>
      <c r="Q53" s="2"/>
      <c r="R53" s="2"/>
      <c r="S53" s="2"/>
    </row>
    <row r="54" spans="1:19" x14ac:dyDescent="0.25">
      <c r="A54" s="172" t="s">
        <v>237</v>
      </c>
      <c r="B54" s="172" t="s">
        <v>36</v>
      </c>
      <c r="C54" s="172" t="s">
        <v>55</v>
      </c>
      <c r="D54" s="172" t="s">
        <v>38</v>
      </c>
      <c r="E54" s="172" t="s">
        <v>57</v>
      </c>
      <c r="F54" s="172" t="s">
        <v>43</v>
      </c>
      <c r="G54" s="172" t="s">
        <v>49</v>
      </c>
      <c r="H54" s="172" t="s">
        <v>642</v>
      </c>
      <c r="I54" s="172" t="s">
        <v>643</v>
      </c>
      <c r="O54" s="2"/>
      <c r="P54" s="2"/>
      <c r="Q54" s="2"/>
      <c r="R54" s="2"/>
      <c r="S54" s="2"/>
    </row>
    <row r="55" spans="1:19" x14ac:dyDescent="0.25">
      <c r="A55" s="172" t="s">
        <v>251</v>
      </c>
      <c r="B55" s="172" t="s">
        <v>35</v>
      </c>
      <c r="C55" s="172" t="s">
        <v>37</v>
      </c>
      <c r="D55" s="172" t="s">
        <v>38</v>
      </c>
      <c r="E55" s="172" t="s">
        <v>40</v>
      </c>
      <c r="F55" s="172" t="s">
        <v>42</v>
      </c>
      <c r="G55" s="172" t="s">
        <v>58</v>
      </c>
      <c r="H55" s="172" t="s">
        <v>621</v>
      </c>
      <c r="I55" s="172" t="s">
        <v>622</v>
      </c>
      <c r="O55" s="2"/>
      <c r="P55" s="2"/>
      <c r="Q55" s="2"/>
      <c r="R55" s="2"/>
      <c r="S55" s="2"/>
    </row>
    <row r="56" spans="1:19" x14ac:dyDescent="0.25">
      <c r="A56" s="172" t="s">
        <v>287</v>
      </c>
      <c r="B56" s="172" t="s">
        <v>55</v>
      </c>
      <c r="C56" s="172" t="s">
        <v>40</v>
      </c>
      <c r="D56" s="172" t="s">
        <v>41</v>
      </c>
      <c r="E56" s="172" t="s">
        <v>42</v>
      </c>
      <c r="F56" s="172" t="s">
        <v>50</v>
      </c>
      <c r="G56" s="172" t="s">
        <v>58</v>
      </c>
      <c r="H56" s="172" t="s">
        <v>508</v>
      </c>
      <c r="I56" s="172" t="s">
        <v>521</v>
      </c>
      <c r="O56" s="2"/>
      <c r="P56" s="2"/>
      <c r="Q56" s="2"/>
      <c r="R56" s="2"/>
      <c r="S56" s="2"/>
    </row>
    <row r="57" spans="1:19" x14ac:dyDescent="0.25">
      <c r="A57" s="172" t="s">
        <v>238</v>
      </c>
      <c r="B57" s="172" t="s">
        <v>40</v>
      </c>
      <c r="C57" s="172" t="s">
        <v>56</v>
      </c>
      <c r="D57" s="172" t="s">
        <v>42</v>
      </c>
      <c r="E57" s="172" t="s">
        <v>43</v>
      </c>
      <c r="F57" s="172" t="s">
        <v>48</v>
      </c>
      <c r="G57" s="172" t="s">
        <v>50</v>
      </c>
      <c r="H57" s="172" t="s">
        <v>644</v>
      </c>
      <c r="I57" s="172" t="s">
        <v>615</v>
      </c>
      <c r="O57" s="2"/>
      <c r="P57" s="2"/>
      <c r="Q57" s="2"/>
      <c r="R57" s="2"/>
      <c r="S57" s="2"/>
    </row>
    <row r="58" spans="1:19" x14ac:dyDescent="0.25">
      <c r="A58" s="172" t="s">
        <v>239</v>
      </c>
      <c r="B58" s="172" t="s">
        <v>35</v>
      </c>
      <c r="C58" s="172" t="s">
        <v>38</v>
      </c>
      <c r="D58" s="172" t="s">
        <v>41</v>
      </c>
      <c r="E58" s="172" t="s">
        <v>44</v>
      </c>
      <c r="F58" s="172" t="s">
        <v>47</v>
      </c>
      <c r="G58" s="172" t="s">
        <v>51</v>
      </c>
      <c r="H58" s="172" t="s">
        <v>645</v>
      </c>
      <c r="I58" s="172" t="s">
        <v>646</v>
      </c>
      <c r="O58" s="2"/>
      <c r="P58" s="2"/>
      <c r="Q58" s="2"/>
      <c r="R58" s="2"/>
      <c r="S58" s="2"/>
    </row>
    <row r="59" spans="1:19" x14ac:dyDescent="0.25">
      <c r="A59" s="172" t="s">
        <v>220</v>
      </c>
      <c r="B59" s="172" t="s">
        <v>37</v>
      </c>
      <c r="C59" s="172" t="s">
        <v>40</v>
      </c>
      <c r="D59" s="172" t="s">
        <v>44</v>
      </c>
      <c r="E59" s="172" t="s">
        <v>46</v>
      </c>
      <c r="F59" s="172" t="s">
        <v>48</v>
      </c>
      <c r="G59" s="172" t="s">
        <v>58</v>
      </c>
      <c r="H59" s="172" t="s">
        <v>586</v>
      </c>
      <c r="I59" s="172" t="s">
        <v>587</v>
      </c>
      <c r="O59" s="2"/>
      <c r="P59" s="2"/>
      <c r="Q59" s="2"/>
      <c r="R59" s="2"/>
      <c r="S59" s="2"/>
    </row>
    <row r="60" spans="1:19" x14ac:dyDescent="0.25">
      <c r="A60" s="172" t="s">
        <v>268</v>
      </c>
      <c r="B60" s="172" t="s">
        <v>35</v>
      </c>
      <c r="C60" s="172" t="s">
        <v>40</v>
      </c>
      <c r="D60" s="172" t="s">
        <v>49</v>
      </c>
      <c r="E60" s="172" t="s">
        <v>51</v>
      </c>
      <c r="F60" s="172" t="s">
        <v>52</v>
      </c>
      <c r="G60" s="172" t="s">
        <v>54</v>
      </c>
      <c r="H60" s="172" t="s">
        <v>525</v>
      </c>
      <c r="I60" s="172" t="s">
        <v>551</v>
      </c>
      <c r="O60" s="2"/>
      <c r="P60" s="2"/>
      <c r="Q60" s="2"/>
      <c r="R60" s="2"/>
      <c r="S60" s="2"/>
    </row>
    <row r="61" spans="1:19" x14ac:dyDescent="0.25">
      <c r="A61" s="172" t="s">
        <v>306</v>
      </c>
      <c r="B61" s="172" t="s">
        <v>37</v>
      </c>
      <c r="C61" s="172" t="s">
        <v>39</v>
      </c>
      <c r="D61" s="172" t="s">
        <v>57</v>
      </c>
      <c r="E61" s="172" t="s">
        <v>47</v>
      </c>
      <c r="F61" s="172" t="s">
        <v>58</v>
      </c>
      <c r="G61" s="172" t="s">
        <v>53</v>
      </c>
      <c r="H61" s="172" t="s">
        <v>522</v>
      </c>
      <c r="I61" s="172" t="s">
        <v>664</v>
      </c>
      <c r="O61" s="2"/>
      <c r="P61" s="2"/>
      <c r="Q61" s="2"/>
      <c r="R61" s="2"/>
      <c r="S61" s="2"/>
    </row>
    <row r="62" spans="1:19" x14ac:dyDescent="0.25">
      <c r="A62" s="172" t="s">
        <v>208</v>
      </c>
      <c r="B62" s="172" t="s">
        <v>38</v>
      </c>
      <c r="C62" s="172" t="s">
        <v>40</v>
      </c>
      <c r="D62" s="172" t="s">
        <v>44</v>
      </c>
      <c r="E62" s="172" t="s">
        <v>46</v>
      </c>
      <c r="F62" s="172" t="s">
        <v>209</v>
      </c>
      <c r="G62" s="172" t="s">
        <v>52</v>
      </c>
      <c r="H62" s="172" t="s">
        <v>516</v>
      </c>
      <c r="I62" s="172" t="s">
        <v>560</v>
      </c>
      <c r="O62" s="2"/>
      <c r="P62" s="2"/>
      <c r="Q62" s="2"/>
      <c r="R62" s="2"/>
      <c r="S62" s="2"/>
    </row>
    <row r="63" spans="1:19" x14ac:dyDescent="0.25">
      <c r="A63" s="172" t="s">
        <v>210</v>
      </c>
      <c r="B63" s="172" t="s">
        <v>40</v>
      </c>
      <c r="C63" s="172" t="s">
        <v>56</v>
      </c>
      <c r="D63" s="172" t="s">
        <v>42</v>
      </c>
      <c r="E63" s="172" t="s">
        <v>44</v>
      </c>
      <c r="F63" s="172" t="s">
        <v>48</v>
      </c>
      <c r="G63" s="172" t="s">
        <v>51</v>
      </c>
      <c r="H63" s="172" t="s">
        <v>566</v>
      </c>
      <c r="I63" s="172" t="s">
        <v>369</v>
      </c>
      <c r="O63" s="2"/>
      <c r="P63" s="2"/>
      <c r="Q63" s="2"/>
      <c r="R63" s="2"/>
      <c r="S63" s="2"/>
    </row>
    <row r="64" spans="1:19" x14ac:dyDescent="0.25">
      <c r="A64" s="172" t="s">
        <v>269</v>
      </c>
      <c r="B64" s="172" t="s">
        <v>55</v>
      </c>
      <c r="C64" s="172" t="s">
        <v>56</v>
      </c>
      <c r="D64" s="172" t="s">
        <v>57</v>
      </c>
      <c r="E64" s="172" t="s">
        <v>44</v>
      </c>
      <c r="F64" s="172" t="s">
        <v>48</v>
      </c>
      <c r="G64" s="172" t="s">
        <v>58</v>
      </c>
      <c r="H64" s="172" t="s">
        <v>552</v>
      </c>
      <c r="I64" s="172" t="s">
        <v>553</v>
      </c>
      <c r="O64" s="2"/>
      <c r="P64" s="2"/>
      <c r="Q64" s="2"/>
      <c r="R64" s="2"/>
      <c r="S64" s="2"/>
    </row>
    <row r="65" spans="1:19" x14ac:dyDescent="0.25">
      <c r="A65" s="172" t="s">
        <v>270</v>
      </c>
      <c r="B65" s="172" t="s">
        <v>35</v>
      </c>
      <c r="C65" s="62" t="s">
        <v>40</v>
      </c>
      <c r="D65" s="172" t="s">
        <v>42</v>
      </c>
      <c r="E65" s="172" t="s">
        <v>44</v>
      </c>
      <c r="F65" s="172" t="s">
        <v>50</v>
      </c>
      <c r="G65" s="172" t="s">
        <v>51</v>
      </c>
      <c r="H65" s="172" t="s">
        <v>525</v>
      </c>
      <c r="I65" s="172" t="s">
        <v>554</v>
      </c>
      <c r="O65" s="2"/>
      <c r="P65" s="2"/>
      <c r="Q65" s="2"/>
      <c r="R65" s="2"/>
      <c r="S65" s="2"/>
    </row>
    <row r="66" spans="1:19" x14ac:dyDescent="0.25">
      <c r="A66" s="172" t="s">
        <v>271</v>
      </c>
      <c r="B66" s="172" t="s">
        <v>37</v>
      </c>
      <c r="C66" s="172" t="s">
        <v>38</v>
      </c>
      <c r="D66" s="172" t="s">
        <v>45</v>
      </c>
      <c r="E66" s="172" t="s">
        <v>49</v>
      </c>
      <c r="F66" s="172" t="s">
        <v>52</v>
      </c>
      <c r="G66" s="172" t="s">
        <v>53</v>
      </c>
      <c r="H66" s="172" t="s">
        <v>555</v>
      </c>
      <c r="I66" s="172" t="s">
        <v>556</v>
      </c>
      <c r="O66" s="2"/>
      <c r="P66" s="2"/>
      <c r="Q66" s="2"/>
      <c r="R66" s="2"/>
      <c r="S66" s="2"/>
    </row>
    <row r="67" spans="1:19" x14ac:dyDescent="0.25">
      <c r="A67" s="172" t="s">
        <v>1362</v>
      </c>
      <c r="B67" s="172" t="s">
        <v>36</v>
      </c>
      <c r="C67" s="172" t="s">
        <v>37</v>
      </c>
      <c r="D67" s="172" t="s">
        <v>39</v>
      </c>
      <c r="E67" s="172" t="s">
        <v>48</v>
      </c>
      <c r="F67" s="172" t="s">
        <v>52</v>
      </c>
      <c r="G67" s="172" t="s">
        <v>53</v>
      </c>
      <c r="H67" s="172" t="s">
        <v>1373</v>
      </c>
      <c r="I67" s="172" t="s">
        <v>1374</v>
      </c>
      <c r="O67" s="2"/>
      <c r="P67" s="2"/>
      <c r="Q67" s="2"/>
      <c r="R67" s="2"/>
      <c r="S67" s="2"/>
    </row>
    <row r="68" spans="1:19" x14ac:dyDescent="0.25">
      <c r="A68" s="172" t="s">
        <v>288</v>
      </c>
      <c r="B68" s="172" t="s">
        <v>37</v>
      </c>
      <c r="C68" s="172" t="s">
        <v>38</v>
      </c>
      <c r="D68" s="172" t="s">
        <v>39</v>
      </c>
      <c r="E68" s="172" t="s">
        <v>40</v>
      </c>
      <c r="F68" s="172" t="s">
        <v>48</v>
      </c>
      <c r="G68" s="172" t="s">
        <v>50</v>
      </c>
      <c r="H68" s="172" t="s">
        <v>522</v>
      </c>
      <c r="I68" s="172" t="s">
        <v>523</v>
      </c>
      <c r="O68" s="2"/>
      <c r="P68" s="2"/>
      <c r="Q68" s="2"/>
      <c r="R68" s="2"/>
      <c r="S68" s="2"/>
    </row>
    <row r="69" spans="1:19" x14ac:dyDescent="0.25">
      <c r="A69" s="172" t="s">
        <v>240</v>
      </c>
      <c r="B69" s="172" t="s">
        <v>37</v>
      </c>
      <c r="C69" s="172" t="s">
        <v>40</v>
      </c>
      <c r="D69" s="172" t="s">
        <v>57</v>
      </c>
      <c r="E69" s="172" t="s">
        <v>46</v>
      </c>
      <c r="F69" s="172" t="s">
        <v>52</v>
      </c>
      <c r="G69" s="172" t="s">
        <v>53</v>
      </c>
      <c r="H69" s="172" t="s">
        <v>647</v>
      </c>
      <c r="I69" s="172" t="s">
        <v>379</v>
      </c>
      <c r="O69" s="2"/>
      <c r="P69" s="2"/>
      <c r="Q69" s="2"/>
      <c r="R69" s="2"/>
      <c r="S69" s="2"/>
    </row>
    <row r="70" spans="1:19" x14ac:dyDescent="0.25">
      <c r="A70" s="172" t="s">
        <v>241</v>
      </c>
      <c r="B70" s="172" t="s">
        <v>35</v>
      </c>
      <c r="C70" s="172" t="s">
        <v>38</v>
      </c>
      <c r="D70" s="172" t="s">
        <v>40</v>
      </c>
      <c r="E70" s="172" t="s">
        <v>43</v>
      </c>
      <c r="F70" s="172" t="s">
        <v>48</v>
      </c>
      <c r="G70" s="172" t="s">
        <v>50</v>
      </c>
      <c r="H70" s="172" t="s">
        <v>648</v>
      </c>
      <c r="I70" s="172" t="s">
        <v>649</v>
      </c>
      <c r="O70" s="2"/>
      <c r="P70" s="2"/>
      <c r="Q70" s="2"/>
      <c r="R70" s="2"/>
      <c r="S70" s="2"/>
    </row>
    <row r="71" spans="1:19" x14ac:dyDescent="0.25">
      <c r="A71" s="172" t="s">
        <v>228</v>
      </c>
      <c r="B71" s="172" t="s">
        <v>37</v>
      </c>
      <c r="C71" s="172" t="s">
        <v>38</v>
      </c>
      <c r="D71" s="172" t="s">
        <v>39</v>
      </c>
      <c r="E71" s="172" t="s">
        <v>46</v>
      </c>
      <c r="F71" s="172" t="s">
        <v>48</v>
      </c>
      <c r="G71" s="172" t="s">
        <v>54</v>
      </c>
      <c r="H71" s="172" t="s">
        <v>571</v>
      </c>
      <c r="I71" s="172" t="s">
        <v>575</v>
      </c>
      <c r="O71" s="2"/>
      <c r="P71" s="2"/>
      <c r="Q71" s="2"/>
      <c r="R71" s="2"/>
      <c r="S71" s="2"/>
    </row>
    <row r="72" spans="1:19" x14ac:dyDescent="0.25">
      <c r="A72" s="172" t="s">
        <v>252</v>
      </c>
      <c r="B72" s="172" t="s">
        <v>39</v>
      </c>
      <c r="C72" s="172" t="s">
        <v>56</v>
      </c>
      <c r="D72" s="172" t="s">
        <v>46</v>
      </c>
      <c r="E72" s="172" t="s">
        <v>47</v>
      </c>
      <c r="F72" s="172" t="s">
        <v>48</v>
      </c>
      <c r="G72" s="172" t="s">
        <v>50</v>
      </c>
      <c r="H72" s="172" t="s">
        <v>532</v>
      </c>
      <c r="I72" s="172" t="s">
        <v>623</v>
      </c>
      <c r="O72" s="2"/>
      <c r="P72" s="2"/>
      <c r="Q72" s="2"/>
      <c r="R72" s="2"/>
      <c r="S72" s="2"/>
    </row>
    <row r="73" spans="1:19" x14ac:dyDescent="0.25">
      <c r="A73" s="172" t="s">
        <v>524</v>
      </c>
      <c r="B73" s="172" t="s">
        <v>35</v>
      </c>
      <c r="C73" s="172" t="s">
        <v>43</v>
      </c>
      <c r="D73" s="172" t="s">
        <v>44</v>
      </c>
      <c r="E73" s="172" t="s">
        <v>49</v>
      </c>
      <c r="F73" s="172" t="s">
        <v>50</v>
      </c>
      <c r="G73" s="172" t="s">
        <v>51</v>
      </c>
      <c r="H73" s="172" t="s">
        <v>525</v>
      </c>
      <c r="I73" s="172" t="s">
        <v>526</v>
      </c>
      <c r="O73" s="2"/>
      <c r="P73" s="2"/>
      <c r="Q73" s="2"/>
      <c r="R73" s="2"/>
      <c r="S73" s="2"/>
    </row>
    <row r="74" spans="1:19" x14ac:dyDescent="0.25">
      <c r="A74" s="172" t="s">
        <v>221</v>
      </c>
      <c r="B74" s="172" t="s">
        <v>35</v>
      </c>
      <c r="C74" s="172" t="s">
        <v>38</v>
      </c>
      <c r="D74" s="172" t="s">
        <v>42</v>
      </c>
      <c r="E74" s="172" t="s">
        <v>48</v>
      </c>
      <c r="F74" s="172" t="s">
        <v>51</v>
      </c>
      <c r="G74" s="172" t="s">
        <v>54</v>
      </c>
      <c r="H74" s="172" t="s">
        <v>588</v>
      </c>
      <c r="I74" s="172" t="s">
        <v>589</v>
      </c>
      <c r="O74" s="2"/>
      <c r="P74" s="2"/>
      <c r="Q74" s="2"/>
      <c r="R74" s="2"/>
      <c r="S74" s="2"/>
    </row>
    <row r="75" spans="1:19" x14ac:dyDescent="0.25">
      <c r="A75" s="172" t="s">
        <v>222</v>
      </c>
      <c r="B75" s="172" t="s">
        <v>39</v>
      </c>
      <c r="C75" s="172" t="s">
        <v>40</v>
      </c>
      <c r="D75" s="172" t="s">
        <v>42</v>
      </c>
      <c r="E75" s="172" t="s">
        <v>43</v>
      </c>
      <c r="F75" s="172" t="s">
        <v>49</v>
      </c>
      <c r="G75" s="172" t="s">
        <v>52</v>
      </c>
      <c r="H75" s="172" t="s">
        <v>543</v>
      </c>
      <c r="I75" s="172" t="s">
        <v>551</v>
      </c>
      <c r="O75" s="2"/>
      <c r="P75" s="2"/>
      <c r="Q75" s="2"/>
      <c r="R75" s="2"/>
      <c r="S75" s="2"/>
    </row>
    <row r="76" spans="1:19" x14ac:dyDescent="0.25">
      <c r="A76" s="172" t="s">
        <v>326</v>
      </c>
      <c r="B76" s="172" t="s">
        <v>37</v>
      </c>
      <c r="C76" s="172" t="s">
        <v>39</v>
      </c>
      <c r="D76" s="172" t="s">
        <v>56</v>
      </c>
      <c r="E76" s="172" t="s">
        <v>40</v>
      </c>
      <c r="F76" s="172" t="s">
        <v>43</v>
      </c>
      <c r="G76" s="172" t="s">
        <v>53</v>
      </c>
      <c r="H76" s="172" t="s">
        <v>582</v>
      </c>
      <c r="I76" s="172" t="s">
        <v>692</v>
      </c>
      <c r="O76" s="2"/>
      <c r="P76" s="4"/>
      <c r="Q76" s="2"/>
      <c r="R76" s="2"/>
      <c r="S76" s="2"/>
    </row>
    <row r="77" spans="1:19" x14ac:dyDescent="0.25">
      <c r="A77" s="172" t="s">
        <v>318</v>
      </c>
      <c r="B77" s="172" t="s">
        <v>37</v>
      </c>
      <c r="C77" s="172" t="s">
        <v>39</v>
      </c>
      <c r="D77" s="172" t="s">
        <v>57</v>
      </c>
      <c r="E77" s="172" t="s">
        <v>42</v>
      </c>
      <c r="F77" s="172" t="s">
        <v>43</v>
      </c>
      <c r="G77" s="172" t="s">
        <v>48</v>
      </c>
      <c r="H77" s="172" t="s">
        <v>670</v>
      </c>
      <c r="I77" s="172" t="s">
        <v>372</v>
      </c>
      <c r="O77" s="2"/>
      <c r="P77" s="2"/>
      <c r="Q77" s="2"/>
      <c r="R77" s="2"/>
      <c r="S77" s="2"/>
    </row>
    <row r="78" spans="1:19" x14ac:dyDescent="0.25">
      <c r="A78" s="172" t="s">
        <v>319</v>
      </c>
      <c r="B78" s="172" t="s">
        <v>36</v>
      </c>
      <c r="C78" s="172" t="s">
        <v>57</v>
      </c>
      <c r="D78" s="172" t="s">
        <v>41</v>
      </c>
      <c r="E78" s="172" t="s">
        <v>47</v>
      </c>
      <c r="F78" s="172" t="s">
        <v>58</v>
      </c>
      <c r="G78" s="172" t="s">
        <v>53</v>
      </c>
      <c r="H78" s="172" t="s">
        <v>562</v>
      </c>
      <c r="I78" s="172" t="s">
        <v>683</v>
      </c>
      <c r="O78" s="2"/>
      <c r="P78" s="2"/>
      <c r="Q78" s="2"/>
      <c r="R78" s="2"/>
      <c r="S78" s="2"/>
    </row>
    <row r="79" spans="1:19" x14ac:dyDescent="0.25">
      <c r="A79" s="172" t="s">
        <v>279</v>
      </c>
      <c r="B79" s="172" t="s">
        <v>36</v>
      </c>
      <c r="C79" s="172" t="s">
        <v>37</v>
      </c>
      <c r="D79" s="172" t="s">
        <v>49</v>
      </c>
      <c r="E79" s="172" t="s">
        <v>51</v>
      </c>
      <c r="F79" s="172" t="s">
        <v>52</v>
      </c>
      <c r="G79" s="172" t="s">
        <v>53</v>
      </c>
      <c r="H79" s="172" t="s">
        <v>562</v>
      </c>
      <c r="I79" s="172" t="s">
        <v>597</v>
      </c>
      <c r="O79" s="2"/>
      <c r="P79" s="2"/>
      <c r="Q79" s="2"/>
      <c r="R79" s="2"/>
      <c r="S79" s="2"/>
    </row>
    <row r="80" spans="1:19" x14ac:dyDescent="0.25">
      <c r="A80" s="172" t="s">
        <v>253</v>
      </c>
      <c r="B80" s="172" t="s">
        <v>38</v>
      </c>
      <c r="C80" s="172" t="s">
        <v>39</v>
      </c>
      <c r="D80" s="172" t="s">
        <v>42</v>
      </c>
      <c r="E80" s="172" t="s">
        <v>48</v>
      </c>
      <c r="F80" s="172" t="s">
        <v>49</v>
      </c>
      <c r="G80" s="172" t="s">
        <v>51</v>
      </c>
      <c r="H80" s="172" t="s">
        <v>612</v>
      </c>
      <c r="I80" s="172" t="s">
        <v>624</v>
      </c>
      <c r="O80" s="2"/>
      <c r="P80" s="2"/>
      <c r="Q80" s="2"/>
      <c r="R80" s="2"/>
      <c r="S80" s="2"/>
    </row>
    <row r="81" spans="1:19" x14ac:dyDescent="0.25">
      <c r="A81" s="172" t="s">
        <v>1363</v>
      </c>
      <c r="B81" s="172" t="s">
        <v>35</v>
      </c>
      <c r="C81" s="172" t="s">
        <v>38</v>
      </c>
      <c r="D81" s="172" t="s">
        <v>44</v>
      </c>
      <c r="E81" s="172" t="s">
        <v>49</v>
      </c>
      <c r="F81" s="172" t="s">
        <v>58</v>
      </c>
      <c r="G81" s="172" t="s">
        <v>52</v>
      </c>
      <c r="H81" s="172" t="s">
        <v>555</v>
      </c>
      <c r="I81" s="172" t="s">
        <v>1375</v>
      </c>
      <c r="O81" s="2"/>
      <c r="P81" s="2"/>
      <c r="Q81" s="2"/>
      <c r="R81" s="2"/>
      <c r="S81" s="2"/>
    </row>
    <row r="82" spans="1:19" x14ac:dyDescent="0.25">
      <c r="A82" s="172" t="s">
        <v>325</v>
      </c>
      <c r="B82" s="172" t="s">
        <v>35</v>
      </c>
      <c r="C82" s="172" t="s">
        <v>38</v>
      </c>
      <c r="D82" s="172" t="s">
        <v>40</v>
      </c>
      <c r="E82" s="172" t="s">
        <v>43</v>
      </c>
      <c r="F82" s="172" t="s">
        <v>50</v>
      </c>
      <c r="G82" s="172" t="s">
        <v>51</v>
      </c>
      <c r="H82" s="172" t="s">
        <v>564</v>
      </c>
      <c r="I82" s="172" t="s">
        <v>691</v>
      </c>
      <c r="O82" s="2"/>
      <c r="P82" s="2"/>
      <c r="Q82" s="2"/>
      <c r="R82" s="2"/>
      <c r="S82" s="2"/>
    </row>
    <row r="83" spans="1:19" x14ac:dyDescent="0.25">
      <c r="A83" s="172" t="s">
        <v>254</v>
      </c>
      <c r="B83" s="172" t="s">
        <v>38</v>
      </c>
      <c r="C83" s="172" t="s">
        <v>41</v>
      </c>
      <c r="D83" s="172" t="s">
        <v>43</v>
      </c>
      <c r="E83" s="172" t="s">
        <v>50</v>
      </c>
      <c r="F83" s="172" t="s">
        <v>51</v>
      </c>
      <c r="G83" s="172" t="s">
        <v>54</v>
      </c>
      <c r="H83" s="172" t="s">
        <v>625</v>
      </c>
      <c r="I83" s="172" t="s">
        <v>626</v>
      </c>
      <c r="O83" s="2"/>
      <c r="P83" s="2"/>
      <c r="Q83" s="2"/>
      <c r="R83" s="2"/>
      <c r="S83" s="2"/>
    </row>
    <row r="84" spans="1:19" x14ac:dyDescent="0.25">
      <c r="A84" s="172" t="s">
        <v>280</v>
      </c>
      <c r="B84" s="172" t="s">
        <v>40</v>
      </c>
      <c r="C84" s="172" t="s">
        <v>41</v>
      </c>
      <c r="D84" s="172" t="s">
        <v>43</v>
      </c>
      <c r="E84" s="172" t="s">
        <v>45</v>
      </c>
      <c r="F84" s="172" t="s">
        <v>49</v>
      </c>
      <c r="G84" s="172" t="s">
        <v>50</v>
      </c>
      <c r="H84" s="172" t="s">
        <v>598</v>
      </c>
      <c r="I84" s="172" t="s">
        <v>599</v>
      </c>
      <c r="O84" s="2"/>
      <c r="P84" s="2"/>
      <c r="Q84" s="2"/>
      <c r="R84" s="2"/>
      <c r="S84" s="2"/>
    </row>
    <row r="85" spans="1:19" x14ac:dyDescent="0.25">
      <c r="A85" s="172" t="s">
        <v>211</v>
      </c>
      <c r="B85" s="172" t="s">
        <v>39</v>
      </c>
      <c r="C85" s="172" t="s">
        <v>41</v>
      </c>
      <c r="D85" s="172" t="s">
        <v>45</v>
      </c>
      <c r="E85" s="172" t="s">
        <v>49</v>
      </c>
      <c r="F85" s="172" t="s">
        <v>50</v>
      </c>
      <c r="G85" s="172" t="s">
        <v>52</v>
      </c>
      <c r="H85" s="172" t="s">
        <v>567</v>
      </c>
      <c r="I85" s="172" t="s">
        <v>568</v>
      </c>
      <c r="O85" s="2"/>
      <c r="P85" s="2"/>
      <c r="Q85" s="2"/>
      <c r="R85" s="2"/>
      <c r="S85" s="2"/>
    </row>
    <row r="86" spans="1:19" x14ac:dyDescent="0.25">
      <c r="A86" s="172" t="s">
        <v>299</v>
      </c>
      <c r="B86" s="172" t="s">
        <v>55</v>
      </c>
      <c r="C86" s="172" t="s">
        <v>37</v>
      </c>
      <c r="D86" s="172" t="s">
        <v>43</v>
      </c>
      <c r="E86" s="172" t="s">
        <v>48</v>
      </c>
      <c r="F86" s="172" t="s">
        <v>49</v>
      </c>
      <c r="G86" s="172" t="s">
        <v>54</v>
      </c>
      <c r="H86" s="172" t="s">
        <v>586</v>
      </c>
      <c r="I86" s="172" t="s">
        <v>609</v>
      </c>
      <c r="O86" s="2"/>
      <c r="P86" s="2"/>
      <c r="Q86" s="2"/>
      <c r="R86" s="2"/>
      <c r="S86" s="2"/>
    </row>
    <row r="87" spans="1:19" x14ac:dyDescent="0.25">
      <c r="A87" s="172" t="s">
        <v>329</v>
      </c>
      <c r="B87" s="172" t="s">
        <v>38</v>
      </c>
      <c r="C87" s="172" t="s">
        <v>41</v>
      </c>
      <c r="D87" s="172" t="s">
        <v>43</v>
      </c>
      <c r="E87" s="172" t="s">
        <v>44</v>
      </c>
      <c r="F87" s="172" t="s">
        <v>50</v>
      </c>
      <c r="G87" s="172" t="s">
        <v>58</v>
      </c>
      <c r="H87" s="172" t="s">
        <v>516</v>
      </c>
      <c r="I87" s="172" t="s">
        <v>695</v>
      </c>
      <c r="O87" s="2"/>
      <c r="P87" s="2"/>
      <c r="Q87" s="2"/>
      <c r="R87" s="2"/>
      <c r="S87" s="2"/>
    </row>
    <row r="88" spans="1:19" x14ac:dyDescent="0.25">
      <c r="A88" s="172" t="s">
        <v>307</v>
      </c>
      <c r="B88" s="172" t="s">
        <v>36</v>
      </c>
      <c r="C88" s="172" t="s">
        <v>55</v>
      </c>
      <c r="D88" s="172" t="s">
        <v>45</v>
      </c>
      <c r="E88" s="172" t="s">
        <v>49</v>
      </c>
      <c r="F88" s="172" t="s">
        <v>58</v>
      </c>
      <c r="G88" s="172" t="s">
        <v>52</v>
      </c>
      <c r="H88" s="172" t="s">
        <v>547</v>
      </c>
      <c r="I88" s="172" t="s">
        <v>665</v>
      </c>
      <c r="O88" s="2"/>
      <c r="P88" s="2"/>
      <c r="Q88" s="2"/>
      <c r="R88" s="2"/>
      <c r="S88" s="2"/>
    </row>
    <row r="89" spans="1:19" x14ac:dyDescent="0.25">
      <c r="A89" s="172" t="s">
        <v>300</v>
      </c>
      <c r="B89" s="172" t="s">
        <v>36</v>
      </c>
      <c r="C89" s="172" t="s">
        <v>37</v>
      </c>
      <c r="D89" s="172" t="s">
        <v>39</v>
      </c>
      <c r="E89" s="172" t="s">
        <v>56</v>
      </c>
      <c r="F89" s="172" t="s">
        <v>44</v>
      </c>
      <c r="G89" s="172" t="s">
        <v>49</v>
      </c>
      <c r="H89" s="172" t="s">
        <v>610</v>
      </c>
      <c r="I89" s="172" t="s">
        <v>611</v>
      </c>
      <c r="O89" s="2"/>
      <c r="P89" s="2"/>
      <c r="Q89" s="2"/>
      <c r="R89" s="2"/>
      <c r="S89" s="2"/>
    </row>
    <row r="90" spans="1:19" x14ac:dyDescent="0.25">
      <c r="A90" s="172" t="s">
        <v>330</v>
      </c>
      <c r="B90" s="172" t="s">
        <v>55</v>
      </c>
      <c r="C90" s="172" t="s">
        <v>38</v>
      </c>
      <c r="D90" s="172" t="s">
        <v>40</v>
      </c>
      <c r="E90" s="172" t="s">
        <v>41</v>
      </c>
      <c r="F90" s="172" t="s">
        <v>43</v>
      </c>
      <c r="G90" s="172" t="s">
        <v>51</v>
      </c>
      <c r="H90" s="172" t="s">
        <v>696</v>
      </c>
      <c r="I90" s="172" t="s">
        <v>697</v>
      </c>
      <c r="O90" s="2"/>
      <c r="P90" s="2"/>
      <c r="Q90" s="2"/>
      <c r="R90" s="2"/>
      <c r="S90" s="2"/>
    </row>
    <row r="91" spans="1:19" x14ac:dyDescent="0.25">
      <c r="A91" s="172" t="s">
        <v>223</v>
      </c>
      <c r="B91" s="172" t="s">
        <v>38</v>
      </c>
      <c r="C91" s="172" t="s">
        <v>41</v>
      </c>
      <c r="D91" s="172" t="s">
        <v>43</v>
      </c>
      <c r="E91" s="172" t="s">
        <v>45</v>
      </c>
      <c r="F91" s="172" t="s">
        <v>42</v>
      </c>
      <c r="G91" s="172" t="s">
        <v>52</v>
      </c>
      <c r="H91" s="172" t="s">
        <v>590</v>
      </c>
      <c r="I91" s="172" t="s">
        <v>676</v>
      </c>
      <c r="O91" s="2"/>
      <c r="P91" s="2"/>
      <c r="Q91" s="2"/>
      <c r="R91" s="2"/>
      <c r="S91" s="2"/>
    </row>
    <row r="92" spans="1:19" x14ac:dyDescent="0.25">
      <c r="A92" s="172" t="s">
        <v>229</v>
      </c>
      <c r="B92" s="172" t="s">
        <v>40</v>
      </c>
      <c r="C92" s="172" t="s">
        <v>44</v>
      </c>
      <c r="D92" s="172" t="s">
        <v>45</v>
      </c>
      <c r="E92" s="172" t="s">
        <v>50</v>
      </c>
      <c r="F92" s="172" t="s">
        <v>51</v>
      </c>
      <c r="G92" s="172" t="s">
        <v>54</v>
      </c>
      <c r="H92" s="172" t="s">
        <v>543</v>
      </c>
      <c r="I92" s="172" t="s">
        <v>576</v>
      </c>
      <c r="O92" s="2"/>
      <c r="P92" s="2"/>
      <c r="Q92" s="2"/>
      <c r="R92" s="2"/>
      <c r="S92" s="2"/>
    </row>
    <row r="93" spans="1:19" x14ac:dyDescent="0.25">
      <c r="A93" s="172" t="s">
        <v>308</v>
      </c>
      <c r="B93" s="172" t="s">
        <v>40</v>
      </c>
      <c r="C93" s="172" t="s">
        <v>43</v>
      </c>
      <c r="D93" s="172" t="s">
        <v>44</v>
      </c>
      <c r="E93" s="172" t="s">
        <v>48</v>
      </c>
      <c r="F93" s="172" t="s">
        <v>50</v>
      </c>
      <c r="G93" s="172" t="s">
        <v>51</v>
      </c>
      <c r="H93" s="172" t="s">
        <v>666</v>
      </c>
      <c r="I93" s="172" t="s">
        <v>667</v>
      </c>
      <c r="O93" s="2"/>
      <c r="P93" s="2"/>
      <c r="Q93" s="2"/>
      <c r="R93" s="2"/>
      <c r="S93" s="2"/>
    </row>
    <row r="94" spans="1:19" x14ac:dyDescent="0.25">
      <c r="A94" s="172" t="s">
        <v>701</v>
      </c>
      <c r="B94" s="172" t="s">
        <v>36</v>
      </c>
      <c r="C94" s="172" t="s">
        <v>39</v>
      </c>
      <c r="D94" s="172" t="s">
        <v>42</v>
      </c>
      <c r="E94" s="172" t="s">
        <v>46</v>
      </c>
      <c r="F94" s="172" t="s">
        <v>48</v>
      </c>
      <c r="G94" s="172" t="s">
        <v>54</v>
      </c>
      <c r="H94" s="172" t="s">
        <v>612</v>
      </c>
      <c r="I94" s="172" t="s">
        <v>613</v>
      </c>
      <c r="O94" s="2"/>
      <c r="P94" s="2"/>
      <c r="Q94" s="2"/>
      <c r="R94" s="2"/>
      <c r="S94" s="2"/>
    </row>
    <row r="95" spans="1:19" x14ac:dyDescent="0.25">
      <c r="A95" s="172" t="s">
        <v>242</v>
      </c>
      <c r="B95" s="172" t="s">
        <v>37</v>
      </c>
      <c r="C95" s="172" t="s">
        <v>39</v>
      </c>
      <c r="D95" s="172" t="s">
        <v>56</v>
      </c>
      <c r="E95" s="172" t="s">
        <v>45</v>
      </c>
      <c r="F95" s="172" t="s">
        <v>48</v>
      </c>
      <c r="G95" s="172" t="s">
        <v>54</v>
      </c>
      <c r="H95" s="172" t="s">
        <v>650</v>
      </c>
      <c r="I95" s="172" t="s">
        <v>651</v>
      </c>
      <c r="O95" s="2"/>
      <c r="P95" s="2"/>
      <c r="Q95" s="2"/>
      <c r="R95" s="2"/>
      <c r="S95" s="2"/>
    </row>
    <row r="96" spans="1:19" x14ac:dyDescent="0.25">
      <c r="A96" s="172" t="s">
        <v>212</v>
      </c>
      <c r="B96" s="172" t="s">
        <v>37</v>
      </c>
      <c r="C96" s="172" t="s">
        <v>38</v>
      </c>
      <c r="D96" s="172" t="s">
        <v>56</v>
      </c>
      <c r="E96" s="172" t="s">
        <v>42</v>
      </c>
      <c r="F96" s="172" t="s">
        <v>52</v>
      </c>
      <c r="G96" s="172" t="s">
        <v>53</v>
      </c>
      <c r="H96" s="172" t="s">
        <v>582</v>
      </c>
      <c r="I96" s="172" t="s">
        <v>675</v>
      </c>
      <c r="O96" s="2"/>
      <c r="P96" s="2"/>
      <c r="Q96" s="2"/>
      <c r="R96" s="2"/>
      <c r="S96" s="2"/>
    </row>
    <row r="97" spans="1:19" x14ac:dyDescent="0.25">
      <c r="A97" s="172" t="s">
        <v>301</v>
      </c>
      <c r="B97" s="172" t="s">
        <v>37</v>
      </c>
      <c r="C97" s="172" t="s">
        <v>40</v>
      </c>
      <c r="D97" s="172" t="s">
        <v>43</v>
      </c>
      <c r="E97" s="172" t="s">
        <v>48</v>
      </c>
      <c r="F97" s="172" t="s">
        <v>51</v>
      </c>
      <c r="G97" s="172" t="s">
        <v>54</v>
      </c>
      <c r="H97" s="172" t="s">
        <v>614</v>
      </c>
      <c r="I97" s="172" t="s">
        <v>615</v>
      </c>
      <c r="O97" s="2"/>
      <c r="P97" s="2"/>
      <c r="Q97" s="2"/>
      <c r="R97" s="2"/>
      <c r="S97" s="2"/>
    </row>
    <row r="98" spans="1:19" x14ac:dyDescent="0.25">
      <c r="A98" s="172" t="s">
        <v>243</v>
      </c>
      <c r="B98" s="172" t="s">
        <v>35</v>
      </c>
      <c r="C98" s="172" t="s">
        <v>38</v>
      </c>
      <c r="D98" s="172" t="s">
        <v>57</v>
      </c>
      <c r="E98" s="172" t="s">
        <v>43</v>
      </c>
      <c r="F98" s="172" t="s">
        <v>44</v>
      </c>
      <c r="G98" s="172" t="s">
        <v>58</v>
      </c>
      <c r="H98" s="172" t="s">
        <v>652</v>
      </c>
      <c r="I98" s="172" t="s">
        <v>653</v>
      </c>
      <c r="O98" s="2"/>
      <c r="P98" s="2"/>
      <c r="Q98" s="2"/>
      <c r="R98" s="2"/>
      <c r="S98" s="2"/>
    </row>
    <row r="99" spans="1:19" x14ac:dyDescent="0.25">
      <c r="A99" s="172" t="s">
        <v>213</v>
      </c>
      <c r="B99" s="172" t="s">
        <v>55</v>
      </c>
      <c r="C99" s="172" t="s">
        <v>42</v>
      </c>
      <c r="D99" s="172" t="s">
        <v>43</v>
      </c>
      <c r="E99" s="172" t="s">
        <v>44</v>
      </c>
      <c r="F99" s="172" t="s">
        <v>49</v>
      </c>
      <c r="G99" s="172" t="s">
        <v>51</v>
      </c>
      <c r="H99" s="172" t="s">
        <v>569</v>
      </c>
      <c r="I99" s="172" t="s">
        <v>570</v>
      </c>
      <c r="O99" s="2"/>
      <c r="P99" s="2"/>
      <c r="Q99" s="2"/>
      <c r="R99" s="2"/>
      <c r="S99" s="2"/>
    </row>
    <row r="100" spans="1:19" x14ac:dyDescent="0.25">
      <c r="A100" s="172" t="s">
        <v>302</v>
      </c>
      <c r="B100" s="172" t="s">
        <v>35</v>
      </c>
      <c r="C100" s="172" t="s">
        <v>55</v>
      </c>
      <c r="D100" s="172" t="s">
        <v>41</v>
      </c>
      <c r="E100" s="172" t="s">
        <v>48</v>
      </c>
      <c r="F100" s="172" t="s">
        <v>51</v>
      </c>
      <c r="G100" s="172" t="s">
        <v>54</v>
      </c>
      <c r="H100" s="172" t="s">
        <v>616</v>
      </c>
      <c r="I100" s="172" t="s">
        <v>596</v>
      </c>
      <c r="O100" s="2"/>
      <c r="P100" s="2"/>
      <c r="Q100" s="2"/>
      <c r="R100" s="2"/>
      <c r="S100" s="2"/>
    </row>
    <row r="101" spans="1:19" x14ac:dyDescent="0.25">
      <c r="A101" s="172" t="s">
        <v>281</v>
      </c>
      <c r="B101" s="172" t="s">
        <v>55</v>
      </c>
      <c r="C101" s="172" t="s">
        <v>57</v>
      </c>
      <c r="D101" s="172" t="s">
        <v>42</v>
      </c>
      <c r="E101" s="172" t="s">
        <v>48</v>
      </c>
      <c r="F101" s="172" t="s">
        <v>50</v>
      </c>
      <c r="G101" s="172" t="s">
        <v>51</v>
      </c>
      <c r="H101" s="172" t="s">
        <v>530</v>
      </c>
      <c r="I101" s="172" t="s">
        <v>600</v>
      </c>
      <c r="O101" s="2"/>
      <c r="P101" s="2"/>
      <c r="Q101" s="2"/>
      <c r="R101" s="2"/>
      <c r="S101" s="2"/>
    </row>
    <row r="102" spans="1:19" x14ac:dyDescent="0.25">
      <c r="A102" s="172" t="s">
        <v>289</v>
      </c>
      <c r="B102" s="172" t="s">
        <v>38</v>
      </c>
      <c r="C102" s="172" t="s">
        <v>40</v>
      </c>
      <c r="D102" s="172" t="s">
        <v>42</v>
      </c>
      <c r="E102" s="172" t="s">
        <v>44</v>
      </c>
      <c r="F102" s="172" t="s">
        <v>50</v>
      </c>
      <c r="G102" s="172" t="s">
        <v>51</v>
      </c>
      <c r="H102" s="172" t="s">
        <v>525</v>
      </c>
      <c r="I102" s="172" t="s">
        <v>527</v>
      </c>
      <c r="O102" s="2"/>
      <c r="P102" s="2"/>
      <c r="Q102" s="2"/>
      <c r="R102" s="2"/>
      <c r="S102" s="2"/>
    </row>
    <row r="103" spans="1:19" x14ac:dyDescent="0.25">
      <c r="A103" s="172" t="s">
        <v>255</v>
      </c>
      <c r="B103" s="172" t="s">
        <v>57</v>
      </c>
      <c r="C103" s="172" t="s">
        <v>41</v>
      </c>
      <c r="D103" s="172" t="s">
        <v>47</v>
      </c>
      <c r="E103" s="172" t="s">
        <v>49</v>
      </c>
      <c r="F103" s="172" t="s">
        <v>51</v>
      </c>
      <c r="G103" s="172" t="s">
        <v>53</v>
      </c>
      <c r="H103" s="172" t="s">
        <v>627</v>
      </c>
      <c r="I103" s="172" t="s">
        <v>628</v>
      </c>
      <c r="O103" s="2"/>
      <c r="P103" s="2"/>
      <c r="Q103" s="2"/>
      <c r="R103" s="2"/>
      <c r="S103" s="2"/>
    </row>
    <row r="104" spans="1:19" x14ac:dyDescent="0.25">
      <c r="A104" s="172" t="s">
        <v>320</v>
      </c>
      <c r="B104" s="172" t="s">
        <v>36</v>
      </c>
      <c r="C104" s="172" t="s">
        <v>37</v>
      </c>
      <c r="D104" s="172" t="s">
        <v>57</v>
      </c>
      <c r="E104" s="172" t="s">
        <v>42</v>
      </c>
      <c r="F104" s="172" t="s">
        <v>48</v>
      </c>
      <c r="G104" s="172" t="s">
        <v>58</v>
      </c>
      <c r="H104" s="172" t="s">
        <v>684</v>
      </c>
      <c r="I104" s="172" t="s">
        <v>685</v>
      </c>
      <c r="O104" s="2"/>
      <c r="P104" s="2"/>
      <c r="Q104" s="2"/>
      <c r="R104" s="2"/>
      <c r="S104" s="2"/>
    </row>
    <row r="105" spans="1:19" x14ac:dyDescent="0.25">
      <c r="A105" s="172" t="s">
        <v>321</v>
      </c>
      <c r="B105" s="172" t="s">
        <v>36</v>
      </c>
      <c r="C105" s="172" t="s">
        <v>37</v>
      </c>
      <c r="D105" s="172" t="s">
        <v>56</v>
      </c>
      <c r="E105" s="172" t="s">
        <v>42</v>
      </c>
      <c r="F105" s="172" t="s">
        <v>46</v>
      </c>
      <c r="G105" s="172" t="s">
        <v>53</v>
      </c>
      <c r="H105" s="172" t="s">
        <v>686</v>
      </c>
      <c r="I105" s="172" t="s">
        <v>687</v>
      </c>
      <c r="O105" s="2"/>
      <c r="P105" s="2"/>
      <c r="Q105" s="2"/>
      <c r="R105" s="2"/>
      <c r="S105" s="2"/>
    </row>
    <row r="106" spans="1:19" x14ac:dyDescent="0.25">
      <c r="A106" s="172" t="s">
        <v>272</v>
      </c>
      <c r="B106" s="172" t="s">
        <v>36</v>
      </c>
      <c r="C106" s="172" t="s">
        <v>56</v>
      </c>
      <c r="D106" s="172" t="s">
        <v>42</v>
      </c>
      <c r="E106" s="172" t="s">
        <v>43</v>
      </c>
      <c r="F106" s="172" t="s">
        <v>48</v>
      </c>
      <c r="G106" s="172" t="s">
        <v>54</v>
      </c>
      <c r="H106" s="172" t="s">
        <v>525</v>
      </c>
      <c r="I106" s="172" t="s">
        <v>557</v>
      </c>
      <c r="O106" s="2"/>
      <c r="P106" s="2"/>
      <c r="Q106" s="2"/>
      <c r="R106" s="2"/>
      <c r="S106" s="2"/>
    </row>
    <row r="107" spans="1:19" x14ac:dyDescent="0.25">
      <c r="A107" s="172" t="s">
        <v>290</v>
      </c>
      <c r="B107" s="172" t="s">
        <v>55</v>
      </c>
      <c r="C107" s="172" t="s">
        <v>57</v>
      </c>
      <c r="D107" s="172" t="s">
        <v>44</v>
      </c>
      <c r="E107" s="172" t="s">
        <v>45</v>
      </c>
      <c r="F107" s="172" t="s">
        <v>58</v>
      </c>
      <c r="G107" s="172" t="s">
        <v>54</v>
      </c>
      <c r="H107" s="172" t="s">
        <v>528</v>
      </c>
      <c r="I107" s="172" t="s">
        <v>529</v>
      </c>
      <c r="O107" s="2"/>
      <c r="P107" s="2"/>
      <c r="Q107" s="2"/>
      <c r="R107" s="2"/>
      <c r="S107" s="2"/>
    </row>
    <row r="108" spans="1:19" x14ac:dyDescent="0.25">
      <c r="A108" s="172" t="s">
        <v>230</v>
      </c>
      <c r="B108" s="172" t="s">
        <v>35</v>
      </c>
      <c r="C108" s="172" t="s">
        <v>40</v>
      </c>
      <c r="D108" s="172" t="s">
        <v>44</v>
      </c>
      <c r="E108" s="172" t="s">
        <v>47</v>
      </c>
      <c r="F108" s="172" t="s">
        <v>48</v>
      </c>
      <c r="G108" s="172" t="s">
        <v>58</v>
      </c>
      <c r="H108" s="172" t="s">
        <v>564</v>
      </c>
      <c r="I108" s="172" t="s">
        <v>577</v>
      </c>
      <c r="O108" s="2"/>
      <c r="P108" s="2"/>
      <c r="Q108" s="2"/>
      <c r="R108" s="2"/>
      <c r="S108" s="2"/>
    </row>
    <row r="109" spans="1:19" x14ac:dyDescent="0.25">
      <c r="A109" s="172" t="s">
        <v>273</v>
      </c>
      <c r="B109" s="172" t="s">
        <v>36</v>
      </c>
      <c r="C109" s="172" t="s">
        <v>37</v>
      </c>
      <c r="D109" s="172" t="s">
        <v>40</v>
      </c>
      <c r="E109" s="172" t="s">
        <v>48</v>
      </c>
      <c r="F109" s="172" t="s">
        <v>51</v>
      </c>
      <c r="G109" s="172" t="s">
        <v>53</v>
      </c>
      <c r="H109" s="172" t="s">
        <v>522</v>
      </c>
      <c r="I109" s="172" t="s">
        <v>678</v>
      </c>
      <c r="O109" s="2"/>
      <c r="P109" s="2"/>
      <c r="Q109" s="2"/>
      <c r="R109" s="2"/>
      <c r="S109" s="2"/>
    </row>
    <row r="110" spans="1:19" x14ac:dyDescent="0.25">
      <c r="A110" s="172" t="s">
        <v>224</v>
      </c>
      <c r="B110" s="172" t="s">
        <v>37</v>
      </c>
      <c r="C110" s="172" t="s">
        <v>39</v>
      </c>
      <c r="D110" s="172" t="s">
        <v>42</v>
      </c>
      <c r="E110" s="172" t="s">
        <v>46</v>
      </c>
      <c r="F110" s="172" t="s">
        <v>51</v>
      </c>
      <c r="G110" s="172" t="s">
        <v>58</v>
      </c>
      <c r="H110" s="172" t="s">
        <v>590</v>
      </c>
      <c r="I110" s="172" t="s">
        <v>572</v>
      </c>
      <c r="O110" s="2"/>
      <c r="P110" s="2"/>
      <c r="Q110" s="2"/>
      <c r="R110" s="2"/>
      <c r="S110" s="2"/>
    </row>
    <row r="111" spans="1:19" x14ac:dyDescent="0.25">
      <c r="A111" s="172" t="s">
        <v>327</v>
      </c>
      <c r="B111" s="172" t="s">
        <v>37</v>
      </c>
      <c r="C111" s="172" t="s">
        <v>45</v>
      </c>
      <c r="D111" s="172" t="s">
        <v>46</v>
      </c>
      <c r="E111" s="172" t="s">
        <v>48</v>
      </c>
      <c r="F111" s="172" t="s">
        <v>51</v>
      </c>
      <c r="G111" s="172" t="s">
        <v>52</v>
      </c>
      <c r="H111" s="172" t="s">
        <v>693</v>
      </c>
      <c r="I111" s="172" t="s">
        <v>694</v>
      </c>
      <c r="O111" s="2"/>
      <c r="P111" s="2"/>
      <c r="Q111" s="2"/>
      <c r="R111" s="2"/>
      <c r="S111" s="2"/>
    </row>
    <row r="112" spans="1:19" x14ac:dyDescent="0.25">
      <c r="A112" s="172" t="s">
        <v>333</v>
      </c>
      <c r="B112" s="172" t="s">
        <v>37</v>
      </c>
      <c r="C112" s="172" t="s">
        <v>40</v>
      </c>
      <c r="D112" s="172" t="s">
        <v>56</v>
      </c>
      <c r="E112" s="172" t="s">
        <v>42</v>
      </c>
      <c r="F112" s="172" t="s">
        <v>43</v>
      </c>
      <c r="G112" s="172" t="s">
        <v>53</v>
      </c>
      <c r="H112" s="172" t="s">
        <v>670</v>
      </c>
      <c r="I112" s="172" t="s">
        <v>700</v>
      </c>
      <c r="O112" s="2"/>
      <c r="P112" s="2"/>
      <c r="Q112" s="2"/>
      <c r="R112" s="2"/>
      <c r="S112" s="2"/>
    </row>
    <row r="113" spans="1:19" x14ac:dyDescent="0.25">
      <c r="A113" s="172" t="s">
        <v>322</v>
      </c>
      <c r="B113" s="172" t="s">
        <v>35</v>
      </c>
      <c r="C113" s="172" t="s">
        <v>40</v>
      </c>
      <c r="D113" s="172" t="s">
        <v>57</v>
      </c>
      <c r="E113" s="172" t="s">
        <v>42</v>
      </c>
      <c r="F113" s="172" t="s">
        <v>43</v>
      </c>
      <c r="G113" s="172" t="s">
        <v>50</v>
      </c>
      <c r="H113" s="172" t="s">
        <v>684</v>
      </c>
      <c r="I113" s="172" t="s">
        <v>688</v>
      </c>
      <c r="O113" s="2"/>
      <c r="P113" s="2"/>
      <c r="Q113" s="2"/>
      <c r="R113" s="2"/>
      <c r="S113" s="2"/>
    </row>
    <row r="114" spans="1:19" x14ac:dyDescent="0.25">
      <c r="A114" s="172" t="s">
        <v>256</v>
      </c>
      <c r="B114" s="172" t="s">
        <v>35</v>
      </c>
      <c r="C114" s="172" t="s">
        <v>55</v>
      </c>
      <c r="D114" s="172" t="s">
        <v>38</v>
      </c>
      <c r="E114" s="172" t="s">
        <v>57</v>
      </c>
      <c r="F114" s="172" t="s">
        <v>47</v>
      </c>
      <c r="G114" s="172" t="s">
        <v>58</v>
      </c>
      <c r="H114" s="172" t="s">
        <v>629</v>
      </c>
      <c r="I114" s="172" t="s">
        <v>630</v>
      </c>
      <c r="O114" s="2"/>
      <c r="P114" s="2"/>
      <c r="Q114" s="2"/>
      <c r="R114" s="2"/>
      <c r="S114" s="2"/>
    </row>
    <row r="115" spans="1:19" x14ac:dyDescent="0.25">
      <c r="A115" s="172" t="s">
        <v>291</v>
      </c>
      <c r="B115" s="172" t="s">
        <v>39</v>
      </c>
      <c r="C115" s="172" t="s">
        <v>40</v>
      </c>
      <c r="D115" s="172" t="s">
        <v>56</v>
      </c>
      <c r="E115" s="172" t="s">
        <v>48</v>
      </c>
      <c r="F115" s="172" t="s">
        <v>51</v>
      </c>
      <c r="G115" s="172" t="s">
        <v>53</v>
      </c>
      <c r="H115" s="172" t="s">
        <v>530</v>
      </c>
      <c r="I115" s="172" t="s">
        <v>531</v>
      </c>
      <c r="O115" s="2"/>
      <c r="P115" s="2"/>
      <c r="Q115" s="2"/>
      <c r="R115" s="2"/>
      <c r="S115" s="2"/>
    </row>
    <row r="116" spans="1:19" x14ac:dyDescent="0.25">
      <c r="A116" s="172" t="s">
        <v>282</v>
      </c>
      <c r="B116" s="172" t="s">
        <v>55</v>
      </c>
      <c r="C116" s="172" t="s">
        <v>40</v>
      </c>
      <c r="D116" s="172" t="s">
        <v>42</v>
      </c>
      <c r="E116" s="172" t="s">
        <v>43</v>
      </c>
      <c r="F116" s="172" t="s">
        <v>48</v>
      </c>
      <c r="G116" s="172" t="s">
        <v>51</v>
      </c>
      <c r="H116" s="172" t="s">
        <v>588</v>
      </c>
      <c r="I116" s="172" t="s">
        <v>601</v>
      </c>
      <c r="O116" s="2"/>
      <c r="P116" s="2"/>
      <c r="Q116" s="2"/>
      <c r="R116" s="2"/>
      <c r="S116" s="2"/>
    </row>
    <row r="117" spans="1:19" x14ac:dyDescent="0.25">
      <c r="A117" s="172" t="s">
        <v>244</v>
      </c>
      <c r="B117" s="172" t="s">
        <v>38</v>
      </c>
      <c r="C117" s="172" t="s">
        <v>40</v>
      </c>
      <c r="D117" s="172" t="s">
        <v>42</v>
      </c>
      <c r="E117" s="172" t="s">
        <v>43</v>
      </c>
      <c r="F117" s="172" t="s">
        <v>47</v>
      </c>
      <c r="G117" s="172" t="s">
        <v>53</v>
      </c>
      <c r="H117" s="172" t="s">
        <v>642</v>
      </c>
      <c r="I117" s="172" t="s">
        <v>654</v>
      </c>
      <c r="O117" s="2"/>
      <c r="P117" s="2"/>
      <c r="Q117" s="2"/>
      <c r="R117" s="2"/>
      <c r="S117" s="2"/>
    </row>
    <row r="118" spans="1:19" x14ac:dyDescent="0.25">
      <c r="A118" s="172" t="s">
        <v>257</v>
      </c>
      <c r="B118" s="172" t="s">
        <v>37</v>
      </c>
      <c r="C118" s="172" t="s">
        <v>39</v>
      </c>
      <c r="D118" s="172" t="s">
        <v>40</v>
      </c>
      <c r="E118" s="172" t="s">
        <v>42</v>
      </c>
      <c r="F118" s="172" t="s">
        <v>209</v>
      </c>
      <c r="G118" s="172" t="s">
        <v>53</v>
      </c>
      <c r="H118" s="172" t="s">
        <v>631</v>
      </c>
      <c r="I118" s="172" t="s">
        <v>632</v>
      </c>
      <c r="O118" s="2"/>
      <c r="P118" s="2"/>
      <c r="Q118" s="2"/>
      <c r="R118" s="2"/>
      <c r="S118" s="2"/>
    </row>
    <row r="119" spans="1:19" x14ac:dyDescent="0.25">
      <c r="A119" s="172" t="s">
        <v>214</v>
      </c>
      <c r="B119" s="172" t="s">
        <v>37</v>
      </c>
      <c r="C119" s="172" t="s">
        <v>41</v>
      </c>
      <c r="D119" s="172" t="s">
        <v>43</v>
      </c>
      <c r="E119" s="172" t="s">
        <v>48</v>
      </c>
      <c r="F119" s="172" t="s">
        <v>58</v>
      </c>
      <c r="G119" s="172" t="s">
        <v>53</v>
      </c>
      <c r="H119" s="172" t="s">
        <v>543</v>
      </c>
      <c r="I119" s="172" t="s">
        <v>371</v>
      </c>
      <c r="O119" s="2"/>
      <c r="P119" s="2"/>
      <c r="Q119" s="2"/>
      <c r="R119" s="2"/>
      <c r="S119" s="2"/>
    </row>
    <row r="120" spans="1:19" x14ac:dyDescent="0.25">
      <c r="A120" s="172" t="s">
        <v>1364</v>
      </c>
      <c r="B120" s="172" t="s">
        <v>35</v>
      </c>
      <c r="C120" s="172" t="s">
        <v>55</v>
      </c>
      <c r="D120" s="172" t="s">
        <v>57</v>
      </c>
      <c r="E120" s="172" t="s">
        <v>43</v>
      </c>
      <c r="F120" s="172" t="s">
        <v>44</v>
      </c>
      <c r="G120" s="172" t="s">
        <v>58</v>
      </c>
      <c r="H120" s="172" t="s">
        <v>1376</v>
      </c>
      <c r="I120" s="172" t="s">
        <v>553</v>
      </c>
      <c r="O120" s="2"/>
      <c r="P120" s="2"/>
      <c r="Q120" s="2"/>
      <c r="R120" s="2"/>
      <c r="S120" s="2"/>
    </row>
    <row r="121" spans="1:19" x14ac:dyDescent="0.25">
      <c r="A121" s="172" t="s">
        <v>292</v>
      </c>
      <c r="B121" s="172" t="s">
        <v>37</v>
      </c>
      <c r="C121" s="172" t="s">
        <v>38</v>
      </c>
      <c r="D121" s="172" t="s">
        <v>39</v>
      </c>
      <c r="E121" s="172" t="s">
        <v>45</v>
      </c>
      <c r="F121" s="172" t="s">
        <v>51</v>
      </c>
      <c r="G121" s="172" t="s">
        <v>52</v>
      </c>
      <c r="H121" s="172" t="s">
        <v>532</v>
      </c>
      <c r="I121" s="172" t="s">
        <v>533</v>
      </c>
      <c r="O121" s="2"/>
      <c r="P121" s="2"/>
      <c r="Q121" s="2"/>
      <c r="R121" s="2"/>
      <c r="S121" s="2"/>
    </row>
    <row r="122" spans="1:19" x14ac:dyDescent="0.25">
      <c r="A122" s="172" t="s">
        <v>309</v>
      </c>
      <c r="B122" s="172" t="s">
        <v>38</v>
      </c>
      <c r="C122" s="172" t="s">
        <v>41</v>
      </c>
      <c r="D122" s="172" t="s">
        <v>42</v>
      </c>
      <c r="E122" s="172" t="s">
        <v>43</v>
      </c>
      <c r="F122" s="172" t="s">
        <v>47</v>
      </c>
      <c r="G122" s="172" t="s">
        <v>51</v>
      </c>
      <c r="H122" s="172" t="s">
        <v>625</v>
      </c>
      <c r="I122" s="172" t="s">
        <v>668</v>
      </c>
      <c r="O122" s="2"/>
      <c r="P122" s="2"/>
      <c r="Q122" s="2"/>
      <c r="R122" s="2"/>
      <c r="S122" s="2"/>
    </row>
    <row r="123" spans="1:19" x14ac:dyDescent="0.25">
      <c r="A123" s="172" t="s">
        <v>245</v>
      </c>
      <c r="B123" s="172" t="s">
        <v>37</v>
      </c>
      <c r="C123" s="172" t="s">
        <v>39</v>
      </c>
      <c r="D123" s="172" t="s">
        <v>42</v>
      </c>
      <c r="E123" s="172" t="s">
        <v>45</v>
      </c>
      <c r="F123" s="172" t="s">
        <v>48</v>
      </c>
      <c r="G123" s="172" t="s">
        <v>53</v>
      </c>
      <c r="H123" s="172" t="s">
        <v>647</v>
      </c>
      <c r="I123" s="172" t="s">
        <v>655</v>
      </c>
      <c r="O123" s="2"/>
      <c r="P123" s="2"/>
      <c r="Q123" s="2"/>
      <c r="R123" s="2"/>
      <c r="S123" s="2"/>
    </row>
    <row r="124" spans="1:19" x14ac:dyDescent="0.25">
      <c r="A124" s="172" t="s">
        <v>633</v>
      </c>
      <c r="B124" s="172" t="s">
        <v>38</v>
      </c>
      <c r="C124" s="172" t="s">
        <v>39</v>
      </c>
      <c r="D124" s="172" t="s">
        <v>44</v>
      </c>
      <c r="E124" s="172" t="s">
        <v>46</v>
      </c>
      <c r="F124" s="172" t="s">
        <v>49</v>
      </c>
      <c r="G124" s="172" t="s">
        <v>54</v>
      </c>
      <c r="H124" s="172" t="s">
        <v>634</v>
      </c>
      <c r="I124" s="172" t="s">
        <v>635</v>
      </c>
    </row>
    <row r="125" spans="1:19" x14ac:dyDescent="0.25">
      <c r="A125" s="172" t="s">
        <v>225</v>
      </c>
      <c r="B125" s="172" t="s">
        <v>38</v>
      </c>
      <c r="C125" s="172" t="s">
        <v>39</v>
      </c>
      <c r="D125" s="172" t="s">
        <v>57</v>
      </c>
      <c r="E125" s="172" t="s">
        <v>42</v>
      </c>
      <c r="F125" s="172" t="s">
        <v>48</v>
      </c>
      <c r="G125" s="172" t="s">
        <v>51</v>
      </c>
      <c r="H125" s="172" t="s">
        <v>591</v>
      </c>
      <c r="I125" s="172" t="s">
        <v>592</v>
      </c>
    </row>
    <row r="126" spans="1:19" x14ac:dyDescent="0.25">
      <c r="A126" s="172" t="s">
        <v>231</v>
      </c>
      <c r="B126" s="172" t="s">
        <v>37</v>
      </c>
      <c r="C126" s="172" t="s">
        <v>39</v>
      </c>
      <c r="D126" s="172" t="s">
        <v>42</v>
      </c>
      <c r="E126" s="172" t="s">
        <v>49</v>
      </c>
      <c r="F126" s="172" t="s">
        <v>51</v>
      </c>
      <c r="G126" s="172" t="s">
        <v>52</v>
      </c>
      <c r="H126" s="172" t="s">
        <v>578</v>
      </c>
      <c r="I126" s="172" t="s">
        <v>579</v>
      </c>
    </row>
    <row r="127" spans="1:19" x14ac:dyDescent="0.25">
      <c r="A127" s="172" t="s">
        <v>332</v>
      </c>
      <c r="B127" s="172" t="s">
        <v>37</v>
      </c>
      <c r="C127" s="172" t="s">
        <v>56</v>
      </c>
      <c r="D127" s="172" t="s">
        <v>57</v>
      </c>
      <c r="E127" s="172" t="s">
        <v>42</v>
      </c>
      <c r="F127" s="172" t="s">
        <v>43</v>
      </c>
      <c r="G127" s="172" t="s">
        <v>53</v>
      </c>
      <c r="H127" s="172" t="s">
        <v>582</v>
      </c>
      <c r="I127" s="172" t="s">
        <v>699</v>
      </c>
    </row>
    <row r="128" spans="1:19" x14ac:dyDescent="0.25">
      <c r="A128" s="172" t="s">
        <v>215</v>
      </c>
      <c r="B128" s="172" t="s">
        <v>37</v>
      </c>
      <c r="C128" s="172" t="s">
        <v>39</v>
      </c>
      <c r="D128" s="172" t="s">
        <v>56</v>
      </c>
      <c r="E128" s="172" t="s">
        <v>48</v>
      </c>
      <c r="F128" s="172" t="s">
        <v>51</v>
      </c>
      <c r="G128" s="172" t="s">
        <v>54</v>
      </c>
      <c r="H128" s="172" t="s">
        <v>571</v>
      </c>
      <c r="I128" s="172" t="s">
        <v>572</v>
      </c>
    </row>
    <row r="129" spans="1:9" x14ac:dyDescent="0.25">
      <c r="A129" s="172" t="s">
        <v>293</v>
      </c>
      <c r="B129" s="172" t="s">
        <v>35</v>
      </c>
      <c r="C129" s="172" t="s">
        <v>44</v>
      </c>
      <c r="D129" s="172" t="s">
        <v>43</v>
      </c>
      <c r="E129" s="172" t="s">
        <v>49</v>
      </c>
      <c r="F129" s="172" t="s">
        <v>50</v>
      </c>
      <c r="G129" s="172" t="s">
        <v>58</v>
      </c>
      <c r="H129" s="172" t="s">
        <v>528</v>
      </c>
      <c r="I129" s="172" t="s">
        <v>534</v>
      </c>
    </row>
    <row r="130" spans="1:9" x14ac:dyDescent="0.25">
      <c r="A130" s="172" t="s">
        <v>310</v>
      </c>
      <c r="B130" s="172" t="s">
        <v>55</v>
      </c>
      <c r="C130" s="172" t="s">
        <v>41</v>
      </c>
      <c r="D130" s="172" t="s">
        <v>42</v>
      </c>
      <c r="E130" s="172" t="s">
        <v>43</v>
      </c>
      <c r="F130" s="172" t="s">
        <v>46</v>
      </c>
      <c r="G130" s="172" t="s">
        <v>54</v>
      </c>
      <c r="H130" s="172" t="s">
        <v>582</v>
      </c>
      <c r="I130" s="172" t="s">
        <v>669</v>
      </c>
    </row>
    <row r="131" spans="1:9" x14ac:dyDescent="0.25">
      <c r="A131" s="172" t="s">
        <v>232</v>
      </c>
      <c r="B131" s="172" t="s">
        <v>35</v>
      </c>
      <c r="C131" s="172" t="s">
        <v>39</v>
      </c>
      <c r="D131" s="172" t="s">
        <v>40</v>
      </c>
      <c r="E131" s="172" t="s">
        <v>47</v>
      </c>
      <c r="F131" s="172" t="s">
        <v>52</v>
      </c>
      <c r="G131" s="172" t="s">
        <v>53</v>
      </c>
      <c r="H131" s="172" t="s">
        <v>580</v>
      </c>
      <c r="I131" s="172" t="s">
        <v>581</v>
      </c>
    </row>
    <row r="132" spans="1:9" x14ac:dyDescent="0.25">
      <c r="A132" s="172" t="s">
        <v>233</v>
      </c>
      <c r="B132" s="172" t="s">
        <v>55</v>
      </c>
      <c r="C132" s="172" t="s">
        <v>57</v>
      </c>
      <c r="D132" s="172" t="s">
        <v>41</v>
      </c>
      <c r="E132" s="172" t="s">
        <v>44</v>
      </c>
      <c r="F132" s="172" t="s">
        <v>47</v>
      </c>
      <c r="G132" s="172" t="s">
        <v>50</v>
      </c>
      <c r="H132" s="172" t="s">
        <v>535</v>
      </c>
      <c r="I132" s="172" t="s">
        <v>370</v>
      </c>
    </row>
    <row r="133" spans="1:9" x14ac:dyDescent="0.25">
      <c r="A133" s="172" t="s">
        <v>226</v>
      </c>
      <c r="B133" s="172" t="s">
        <v>35</v>
      </c>
      <c r="C133" s="172" t="s">
        <v>38</v>
      </c>
      <c r="D133" s="172" t="s">
        <v>41</v>
      </c>
      <c r="E133" s="172" t="s">
        <v>44</v>
      </c>
      <c r="F133" s="172" t="s">
        <v>46</v>
      </c>
      <c r="G133" s="172" t="s">
        <v>50</v>
      </c>
      <c r="H133" s="172" t="s">
        <v>562</v>
      </c>
      <c r="I133" s="172" t="s">
        <v>593</v>
      </c>
    </row>
    <row r="134" spans="1:9" x14ac:dyDescent="0.25">
      <c r="A134" s="172" t="s">
        <v>216</v>
      </c>
      <c r="B134" s="172" t="s">
        <v>35</v>
      </c>
      <c r="C134" s="172" t="s">
        <v>40</v>
      </c>
      <c r="D134" s="172" t="s">
        <v>43</v>
      </c>
      <c r="E134" s="172" t="s">
        <v>44</v>
      </c>
      <c r="F134" s="172" t="s">
        <v>209</v>
      </c>
      <c r="G134" s="172" t="s">
        <v>50</v>
      </c>
      <c r="H134" s="172" t="s">
        <v>573</v>
      </c>
      <c r="I134" s="172" t="s">
        <v>574</v>
      </c>
    </row>
    <row r="135" spans="1:9" x14ac:dyDescent="0.25">
      <c r="A135" s="172" t="s">
        <v>323</v>
      </c>
      <c r="B135" s="172" t="s">
        <v>40</v>
      </c>
      <c r="C135" s="172" t="s">
        <v>42</v>
      </c>
      <c r="D135" s="172" t="s">
        <v>43</v>
      </c>
      <c r="E135" s="172" t="s">
        <v>46</v>
      </c>
      <c r="F135" s="172" t="s">
        <v>50</v>
      </c>
      <c r="G135" s="172" t="s">
        <v>51</v>
      </c>
      <c r="H135" s="172" t="s">
        <v>689</v>
      </c>
      <c r="I135" s="172" t="s">
        <v>690</v>
      </c>
    </row>
    <row r="136" spans="1:9" x14ac:dyDescent="0.25">
      <c r="A136" s="172" t="s">
        <v>311</v>
      </c>
      <c r="B136" s="172" t="s">
        <v>39</v>
      </c>
      <c r="C136" s="172" t="s">
        <v>40</v>
      </c>
      <c r="D136" s="172" t="s">
        <v>57</v>
      </c>
      <c r="E136" s="172" t="s">
        <v>46</v>
      </c>
      <c r="F136" s="172" t="s">
        <v>48</v>
      </c>
      <c r="G136" s="172" t="s">
        <v>54</v>
      </c>
      <c r="H136" s="172" t="s">
        <v>670</v>
      </c>
      <c r="I136" s="172" t="s">
        <v>671</v>
      </c>
    </row>
    <row r="137" spans="1:9" x14ac:dyDescent="0.25">
      <c r="A137" s="172" t="s">
        <v>312</v>
      </c>
      <c r="B137" s="172" t="s">
        <v>37</v>
      </c>
      <c r="C137" s="172" t="s">
        <v>38</v>
      </c>
      <c r="D137" s="172" t="s">
        <v>56</v>
      </c>
      <c r="E137" s="172" t="s">
        <v>48</v>
      </c>
      <c r="F137" s="172" t="s">
        <v>51</v>
      </c>
      <c r="G137" s="172" t="s">
        <v>52</v>
      </c>
      <c r="H137" s="172" t="s">
        <v>672</v>
      </c>
      <c r="I137" s="172" t="s">
        <v>673</v>
      </c>
    </row>
    <row r="138" spans="1:9" x14ac:dyDescent="0.25">
      <c r="A138" s="172" t="s">
        <v>1365</v>
      </c>
      <c r="B138" s="172" t="s">
        <v>35</v>
      </c>
      <c r="C138" s="172" t="s">
        <v>38</v>
      </c>
      <c r="D138" s="172" t="s">
        <v>40</v>
      </c>
      <c r="E138" s="172" t="s">
        <v>41</v>
      </c>
      <c r="F138" s="172" t="s">
        <v>43</v>
      </c>
      <c r="G138" s="172" t="s">
        <v>44</v>
      </c>
      <c r="H138" s="172" t="s">
        <v>1377</v>
      </c>
      <c r="I138" s="172" t="s">
        <v>1378</v>
      </c>
    </row>
    <row r="139" spans="1:9" x14ac:dyDescent="0.25">
      <c r="A139" s="172" t="s">
        <v>217</v>
      </c>
      <c r="B139" s="172" t="s">
        <v>38</v>
      </c>
      <c r="C139" s="172" t="s">
        <v>39</v>
      </c>
      <c r="D139" s="172" t="s">
        <v>42</v>
      </c>
      <c r="E139" s="172" t="s">
        <v>44</v>
      </c>
      <c r="F139" s="172" t="s">
        <v>50</v>
      </c>
      <c r="G139" s="172" t="s">
        <v>52</v>
      </c>
      <c r="H139" s="172" t="s">
        <v>532</v>
      </c>
      <c r="I139" s="172" t="s">
        <v>374</v>
      </c>
    </row>
    <row r="140" spans="1:9" x14ac:dyDescent="0.25">
      <c r="A140" s="172" t="s">
        <v>258</v>
      </c>
      <c r="B140" s="172" t="s">
        <v>36</v>
      </c>
      <c r="C140" s="172" t="s">
        <v>38</v>
      </c>
      <c r="D140" s="172" t="s">
        <v>40</v>
      </c>
      <c r="E140" s="172" t="s">
        <v>41</v>
      </c>
      <c r="F140" s="172" t="s">
        <v>51</v>
      </c>
      <c r="G140" s="172" t="s">
        <v>52</v>
      </c>
      <c r="H140" s="172" t="s">
        <v>636</v>
      </c>
      <c r="I140" s="172" t="s">
        <v>637</v>
      </c>
    </row>
    <row r="141" spans="1:9" x14ac:dyDescent="0.25">
      <c r="A141" s="172" t="s">
        <v>234</v>
      </c>
      <c r="B141" s="172" t="s">
        <v>57</v>
      </c>
      <c r="C141" s="172" t="s">
        <v>42</v>
      </c>
      <c r="D141" s="172" t="s">
        <v>43</v>
      </c>
      <c r="E141" s="172" t="s">
        <v>45</v>
      </c>
      <c r="F141" s="172" t="s">
        <v>47</v>
      </c>
      <c r="G141" s="172" t="s">
        <v>53</v>
      </c>
      <c r="H141" s="172" t="s">
        <v>582</v>
      </c>
      <c r="I141" s="172" t="s">
        <v>583</v>
      </c>
    </row>
    <row r="142" spans="1:9" x14ac:dyDescent="0.25">
      <c r="A142" s="172" t="s">
        <v>246</v>
      </c>
      <c r="B142" s="172" t="s">
        <v>36</v>
      </c>
      <c r="C142" s="172" t="s">
        <v>38</v>
      </c>
      <c r="D142" s="172" t="s">
        <v>39</v>
      </c>
      <c r="E142" s="172" t="s">
        <v>43</v>
      </c>
      <c r="F142" s="172" t="s">
        <v>49</v>
      </c>
      <c r="G142" s="172" t="s">
        <v>51</v>
      </c>
      <c r="H142" s="172" t="s">
        <v>656</v>
      </c>
      <c r="I142" s="172" t="s">
        <v>657</v>
      </c>
    </row>
    <row r="143" spans="1:9" x14ac:dyDescent="0.25">
      <c r="A143" s="172" t="s">
        <v>259</v>
      </c>
      <c r="B143" s="172" t="s">
        <v>36</v>
      </c>
      <c r="C143" s="172" t="s">
        <v>56</v>
      </c>
      <c r="D143" s="172" t="s">
        <v>43</v>
      </c>
      <c r="E143" s="172" t="s">
        <v>49</v>
      </c>
      <c r="F143" s="172" t="s">
        <v>52</v>
      </c>
      <c r="G143" s="172" t="s">
        <v>53</v>
      </c>
      <c r="H143" s="172" t="s">
        <v>638</v>
      </c>
      <c r="I143" s="172" t="s">
        <v>639</v>
      </c>
    </row>
    <row r="144" spans="1:9" x14ac:dyDescent="0.25">
      <c r="A144" s="172" t="s">
        <v>247</v>
      </c>
      <c r="B144" s="172" t="s">
        <v>41</v>
      </c>
      <c r="C144" s="172" t="s">
        <v>43</v>
      </c>
      <c r="D144" s="172" t="s">
        <v>44</v>
      </c>
      <c r="E144" s="172" t="s">
        <v>49</v>
      </c>
      <c r="F144" s="172" t="s">
        <v>50</v>
      </c>
      <c r="G144" s="172" t="s">
        <v>51</v>
      </c>
      <c r="H144" s="172" t="s">
        <v>658</v>
      </c>
      <c r="I144" s="172" t="s">
        <v>659</v>
      </c>
    </row>
    <row r="145" spans="1:9" x14ac:dyDescent="0.25">
      <c r="A145" s="172" t="s">
        <v>313</v>
      </c>
      <c r="B145" s="172" t="s">
        <v>35</v>
      </c>
      <c r="C145" s="172" t="s">
        <v>42</v>
      </c>
      <c r="D145" s="172" t="s">
        <v>49</v>
      </c>
      <c r="E145" s="172" t="s">
        <v>50</v>
      </c>
      <c r="F145" s="172" t="s">
        <v>58</v>
      </c>
      <c r="G145" s="172" t="s">
        <v>53</v>
      </c>
      <c r="H145" s="172" t="s">
        <v>582</v>
      </c>
      <c r="I145" s="172" t="s">
        <v>674</v>
      </c>
    </row>
    <row r="146" spans="1:9" x14ac:dyDescent="0.25">
      <c r="A146" s="172" t="s">
        <v>274</v>
      </c>
      <c r="B146" s="172" t="s">
        <v>38</v>
      </c>
      <c r="C146" s="172" t="s">
        <v>40</v>
      </c>
      <c r="D146" s="172" t="s">
        <v>43</v>
      </c>
      <c r="E146" s="172" t="s">
        <v>51</v>
      </c>
      <c r="F146" s="172" t="s">
        <v>50</v>
      </c>
      <c r="G146" s="172" t="s">
        <v>54</v>
      </c>
      <c r="H146" s="172" t="s">
        <v>558</v>
      </c>
      <c r="I146" s="172" t="s">
        <v>559</v>
      </c>
    </row>
    <row r="147" spans="1:9" x14ac:dyDescent="0.25">
      <c r="A147" s="1"/>
      <c r="B147" s="2"/>
      <c r="C147" s="2"/>
      <c r="D147" s="2"/>
      <c r="E147" s="2"/>
      <c r="F147" s="2"/>
      <c r="G147" s="2"/>
    </row>
    <row r="148" spans="1:9" x14ac:dyDescent="0.25">
      <c r="A148" s="1"/>
      <c r="B148" s="2"/>
      <c r="C148" s="2"/>
      <c r="D148" s="2"/>
      <c r="E148" s="2"/>
      <c r="F148" s="2"/>
      <c r="G148" s="2"/>
    </row>
    <row r="149" spans="1:9" x14ac:dyDescent="0.25">
      <c r="A149" s="1"/>
      <c r="B149" s="2"/>
      <c r="C149" s="2"/>
      <c r="D149" s="2"/>
      <c r="E149" s="2"/>
      <c r="F149" s="2"/>
      <c r="G149" s="2"/>
    </row>
  </sheetData>
  <sheetProtection password="E9C2" sheet="1" objects="1" scenarios="1" selectLockedCells="1" selectUnlockedCells="1"/>
  <sortState ref="A18:I146">
    <sortCondition ref="A18:A146"/>
  </sortState>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16"/>
  <sheetViews>
    <sheetView workbookViewId="0">
      <selection activeCell="B13" sqref="B13"/>
    </sheetView>
  </sheetViews>
  <sheetFormatPr defaultRowHeight="15" x14ac:dyDescent="0.25"/>
  <cols>
    <col min="1" max="1" width="82.28515625" style="292" customWidth="1"/>
    <col min="2" max="2" width="58.7109375" style="287" customWidth="1"/>
    <col min="3" max="16384" width="9.140625" style="287"/>
  </cols>
  <sheetData>
    <row r="1" spans="1:3" ht="23.25" x14ac:dyDescent="0.25">
      <c r="A1" s="744" t="s">
        <v>1832</v>
      </c>
      <c r="B1" s="744"/>
      <c r="C1" s="744"/>
    </row>
    <row r="2" spans="1:3" ht="18.75" x14ac:dyDescent="0.25">
      <c r="A2" s="745" t="s">
        <v>1836</v>
      </c>
      <c r="B2" s="745" t="s">
        <v>1842</v>
      </c>
      <c r="C2" s="745" t="s">
        <v>1841</v>
      </c>
    </row>
    <row r="3" spans="1:3" ht="75" x14ac:dyDescent="0.25">
      <c r="A3" s="289" t="s">
        <v>1840</v>
      </c>
      <c r="B3" s="290" t="s">
        <v>1846</v>
      </c>
      <c r="C3" s="291" t="s">
        <v>361</v>
      </c>
    </row>
    <row r="4" spans="1:3" ht="225" x14ac:dyDescent="0.25">
      <c r="A4" s="289" t="s">
        <v>1845</v>
      </c>
      <c r="B4" s="291" t="s">
        <v>1843</v>
      </c>
      <c r="C4" s="291" t="s">
        <v>361</v>
      </c>
    </row>
    <row r="5" spans="1:3" ht="30" x14ac:dyDescent="0.25">
      <c r="A5" s="286" t="s">
        <v>1839</v>
      </c>
    </row>
    <row r="6" spans="1:3" ht="18.75" x14ac:dyDescent="0.25">
      <c r="A6" s="288" t="s">
        <v>1837</v>
      </c>
    </row>
    <row r="7" spans="1:3" x14ac:dyDescent="0.25">
      <c r="A7" s="289" t="s">
        <v>1835</v>
      </c>
    </row>
    <row r="8" spans="1:3" ht="30" x14ac:dyDescent="0.25">
      <c r="A8" s="289" t="s">
        <v>1844</v>
      </c>
      <c r="B8" s="292" t="s">
        <v>1847</v>
      </c>
    </row>
    <row r="9" spans="1:3" ht="45" x14ac:dyDescent="0.25">
      <c r="A9" s="289" t="s">
        <v>1834</v>
      </c>
    </row>
    <row r="10" spans="1:3" ht="30" x14ac:dyDescent="0.25">
      <c r="A10" s="289" t="s">
        <v>1838</v>
      </c>
    </row>
    <row r="12" spans="1:3" x14ac:dyDescent="0.25">
      <c r="A12" s="286"/>
    </row>
    <row r="13" spans="1:3" x14ac:dyDescent="0.25">
      <c r="A13" s="286"/>
    </row>
    <row r="14" spans="1:3" x14ac:dyDescent="0.25">
      <c r="A14" s="286"/>
    </row>
    <row r="16" spans="1:3" x14ac:dyDescent="0.25">
      <c r="A16" s="286" t="s">
        <v>1833</v>
      </c>
    </row>
  </sheetData>
  <sheetProtection password="E9C2" sheet="1" objects="1" scenarios="1"/>
  <mergeCells count="1">
    <mergeCell ref="A1:C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DS46"/>
  <sheetViews>
    <sheetView view="pageBreakPreview" zoomScale="75" zoomScaleNormal="70" zoomScaleSheetLayoutView="75" workbookViewId="0">
      <selection activeCell="Y38" sqref="Y38:AB38"/>
    </sheetView>
  </sheetViews>
  <sheetFormatPr defaultColWidth="3.7109375" defaultRowHeight="15" x14ac:dyDescent="0.25"/>
  <cols>
    <col min="1" max="20" width="3.7109375" style="28"/>
    <col min="21" max="22" width="3.7109375" style="28" customWidth="1"/>
    <col min="23" max="35" width="3.7109375" style="28"/>
    <col min="36" max="36" width="5.5703125" style="28" bestFit="1" customWidth="1"/>
    <col min="37" max="44" width="3.7109375" style="28"/>
    <col min="45" max="45" width="3.7109375" style="28" customWidth="1"/>
    <col min="46" max="54" width="3.7109375" style="28"/>
    <col min="55" max="55" width="4.5703125" style="28" bestFit="1" customWidth="1"/>
    <col min="56" max="62" width="3.7109375" style="28"/>
    <col min="63" max="63" width="3.7109375" style="28" customWidth="1"/>
    <col min="64" max="120" width="3.7109375" style="28"/>
    <col min="121" max="124" width="0" style="28" hidden="1" customWidth="1"/>
    <col min="125" max="16384" width="3.7109375" style="28"/>
  </cols>
  <sheetData>
    <row r="1" spans="1:123" ht="15" customHeight="1" x14ac:dyDescent="0.25">
      <c r="A1" s="468" t="s">
        <v>0</v>
      </c>
      <c r="B1" s="462"/>
      <c r="C1" s="462"/>
      <c r="D1" s="462"/>
      <c r="E1" s="462">
        <f>IF(NOT(GodConversion!E12=""),GodConversion!E12,IF(NOT(DemigodConversion!E12=""),DemigodConversion!E12,Creation!E12))</f>
        <v>0</v>
      </c>
      <c r="F1" s="462"/>
      <c r="G1" s="462"/>
      <c r="H1" s="462"/>
      <c r="I1" s="462"/>
      <c r="J1" s="462"/>
      <c r="K1" s="462"/>
      <c r="L1" s="462"/>
      <c r="M1" s="462"/>
      <c r="N1" s="517"/>
      <c r="O1" s="468" t="s">
        <v>2</v>
      </c>
      <c r="P1" s="462"/>
      <c r="Q1" s="462"/>
      <c r="R1" s="462"/>
      <c r="S1" s="462">
        <f>Creation!S12</f>
        <v>0</v>
      </c>
      <c r="T1" s="462"/>
      <c r="U1" s="462"/>
      <c r="V1" s="462"/>
      <c r="W1" s="462"/>
      <c r="X1" s="517"/>
      <c r="Y1" s="478" t="s">
        <v>134</v>
      </c>
      <c r="Z1" s="374"/>
      <c r="AA1" s="374"/>
      <c r="AB1" s="374"/>
      <c r="AC1" s="374"/>
      <c r="AD1" s="374"/>
      <c r="AE1" s="374"/>
      <c r="AF1" s="374"/>
      <c r="AG1" s="374"/>
      <c r="AH1" s="374"/>
      <c r="AI1" s="374"/>
      <c r="AJ1" s="374"/>
      <c r="AK1" s="374"/>
      <c r="AL1" s="374"/>
      <c r="AM1" s="374"/>
      <c r="AN1" s="374"/>
      <c r="AO1" s="374"/>
      <c r="AP1" s="374"/>
      <c r="AQ1" s="374"/>
      <c r="AR1" s="374"/>
      <c r="AS1" s="374"/>
      <c r="AT1" s="374"/>
      <c r="AU1" s="374"/>
      <c r="AV1" s="375"/>
      <c r="AW1" s="373" t="s">
        <v>121</v>
      </c>
      <c r="AX1" s="374"/>
      <c r="AY1" s="374"/>
      <c r="AZ1" s="374"/>
      <c r="BA1" s="374"/>
      <c r="BB1" s="374"/>
      <c r="BC1" s="374"/>
      <c r="BD1" s="374"/>
      <c r="BE1" s="374"/>
      <c r="BF1" s="374"/>
      <c r="BG1" s="374"/>
      <c r="BH1" s="374"/>
      <c r="BI1" s="374"/>
      <c r="BJ1" s="374"/>
      <c r="BK1" s="374"/>
      <c r="BL1" s="374"/>
      <c r="BM1" s="374"/>
      <c r="BN1" s="375"/>
      <c r="BO1" s="392" t="s">
        <v>129</v>
      </c>
      <c r="BP1" s="391"/>
      <c r="BQ1" s="391"/>
      <c r="BR1" s="391"/>
      <c r="BS1" s="391"/>
      <c r="BT1" s="409"/>
      <c r="BU1" s="373" t="s">
        <v>542</v>
      </c>
      <c r="BV1" s="374"/>
      <c r="BW1" s="374"/>
      <c r="BX1" s="374"/>
      <c r="BY1" s="374"/>
      <c r="BZ1" s="374"/>
      <c r="CA1" s="374"/>
      <c r="CB1" s="374"/>
      <c r="CC1" s="374"/>
      <c r="CD1" s="374"/>
      <c r="CE1" s="374"/>
      <c r="CF1" s="374"/>
      <c r="CG1" s="374"/>
      <c r="CH1" s="374"/>
      <c r="CI1" s="374"/>
      <c r="CJ1" s="374"/>
      <c r="CK1" s="374"/>
      <c r="CL1" s="374"/>
      <c r="CM1" s="374"/>
      <c r="CN1" s="374"/>
      <c r="CO1" s="374"/>
      <c r="CP1" s="374"/>
      <c r="CQ1" s="374"/>
      <c r="CR1" s="375"/>
      <c r="CS1" s="373" t="s">
        <v>708</v>
      </c>
      <c r="CT1" s="374"/>
      <c r="CU1" s="374"/>
      <c r="CV1" s="374"/>
      <c r="CW1" s="374"/>
      <c r="CX1" s="374"/>
      <c r="CY1" s="374"/>
      <c r="CZ1" s="374"/>
      <c r="DA1" s="374"/>
      <c r="DB1" s="374"/>
      <c r="DC1" s="374"/>
      <c r="DD1" s="374"/>
      <c r="DE1" s="374"/>
      <c r="DF1" s="374"/>
      <c r="DG1" s="374"/>
      <c r="DH1" s="374"/>
      <c r="DI1" s="374"/>
      <c r="DJ1" s="374"/>
      <c r="DK1" s="374"/>
      <c r="DL1" s="374"/>
      <c r="DM1" s="374"/>
      <c r="DN1" s="374"/>
      <c r="DO1" s="374"/>
      <c r="DP1" s="375"/>
    </row>
    <row r="2" spans="1:123" ht="15.75" customHeight="1" thickBot="1" x14ac:dyDescent="0.3">
      <c r="A2" s="469" t="s">
        <v>1</v>
      </c>
      <c r="B2" s="414"/>
      <c r="C2" s="414"/>
      <c r="D2" s="414"/>
      <c r="E2" s="414">
        <f>IF(NOT(GodConversion!E13=""),GodConversion!E13,IF(NOT(DemigodConversion!E13=""),DemigodConversion!E13,Creation!E13))</f>
        <v>0</v>
      </c>
      <c r="F2" s="414"/>
      <c r="G2" s="414"/>
      <c r="H2" s="414"/>
      <c r="I2" s="414"/>
      <c r="J2" s="414"/>
      <c r="K2" s="414"/>
      <c r="L2" s="414"/>
      <c r="M2" s="414"/>
      <c r="N2" s="518"/>
      <c r="O2" s="469" t="s">
        <v>4</v>
      </c>
      <c r="P2" s="414"/>
      <c r="Q2" s="414"/>
      <c r="R2" s="414"/>
      <c r="S2" s="414" t="str">
        <f>IF(NOT(GodConversion!S13=""),GodConversion!S13,IF(NOT(DemigodConversion!S13=""),DemigodConversion!S13,Creation!S13))</f>
        <v>Select</v>
      </c>
      <c r="T2" s="414"/>
      <c r="U2" s="414"/>
      <c r="V2" s="414"/>
      <c r="W2" s="414"/>
      <c r="X2" s="518"/>
      <c r="Y2" s="479"/>
      <c r="Z2" s="377"/>
      <c r="AA2" s="377"/>
      <c r="AB2" s="377"/>
      <c r="AC2" s="377"/>
      <c r="AD2" s="377"/>
      <c r="AE2" s="377"/>
      <c r="AF2" s="377"/>
      <c r="AG2" s="377"/>
      <c r="AH2" s="377"/>
      <c r="AI2" s="377"/>
      <c r="AJ2" s="377"/>
      <c r="AK2" s="377"/>
      <c r="AL2" s="377"/>
      <c r="AM2" s="377"/>
      <c r="AN2" s="377"/>
      <c r="AO2" s="377"/>
      <c r="AP2" s="377"/>
      <c r="AQ2" s="377"/>
      <c r="AR2" s="377"/>
      <c r="AS2" s="377"/>
      <c r="AT2" s="377"/>
      <c r="AU2" s="377"/>
      <c r="AV2" s="418"/>
      <c r="AW2" s="376"/>
      <c r="AX2" s="377"/>
      <c r="AY2" s="377"/>
      <c r="AZ2" s="377"/>
      <c r="BA2" s="377"/>
      <c r="BB2" s="377"/>
      <c r="BC2" s="377"/>
      <c r="BD2" s="377"/>
      <c r="BE2" s="377"/>
      <c r="BF2" s="377"/>
      <c r="BG2" s="377"/>
      <c r="BH2" s="377"/>
      <c r="BI2" s="377"/>
      <c r="BJ2" s="377"/>
      <c r="BK2" s="377"/>
      <c r="BL2" s="377"/>
      <c r="BM2" s="377"/>
      <c r="BN2" s="418"/>
      <c r="BO2" s="419"/>
      <c r="BP2" s="420"/>
      <c r="BQ2" s="420"/>
      <c r="BR2" s="420"/>
      <c r="BS2" s="420"/>
      <c r="BT2" s="421"/>
      <c r="BU2" s="376"/>
      <c r="BV2" s="377"/>
      <c r="BW2" s="377"/>
      <c r="BX2" s="377"/>
      <c r="BY2" s="377"/>
      <c r="BZ2" s="377"/>
      <c r="CA2" s="377"/>
      <c r="CB2" s="377"/>
      <c r="CC2" s="377"/>
      <c r="CD2" s="377"/>
      <c r="CE2" s="377"/>
      <c r="CF2" s="377"/>
      <c r="CG2" s="377"/>
      <c r="CH2" s="377"/>
      <c r="CI2" s="377"/>
      <c r="CJ2" s="377"/>
      <c r="CK2" s="378"/>
      <c r="CL2" s="378"/>
      <c r="CM2" s="378"/>
      <c r="CN2" s="378"/>
      <c r="CO2" s="378"/>
      <c r="CP2" s="378"/>
      <c r="CQ2" s="378"/>
      <c r="CR2" s="379"/>
      <c r="CS2" s="499"/>
      <c r="CT2" s="378"/>
      <c r="CU2" s="378"/>
      <c r="CV2" s="378"/>
      <c r="CW2" s="378"/>
      <c r="CX2" s="378"/>
      <c r="CY2" s="378"/>
      <c r="CZ2" s="378"/>
      <c r="DA2" s="378"/>
      <c r="DB2" s="378"/>
      <c r="DC2" s="378"/>
      <c r="DD2" s="378"/>
      <c r="DE2" s="378"/>
      <c r="DF2" s="378"/>
      <c r="DG2" s="378"/>
      <c r="DH2" s="378"/>
      <c r="DI2" s="378"/>
      <c r="DJ2" s="378"/>
      <c r="DK2" s="378"/>
      <c r="DL2" s="378"/>
      <c r="DM2" s="378"/>
      <c r="DN2" s="378"/>
      <c r="DO2" s="378"/>
      <c r="DP2" s="379"/>
    </row>
    <row r="3" spans="1:123" ht="15.75" thickBot="1" x14ac:dyDescent="0.3">
      <c r="A3" s="470" t="s">
        <v>8</v>
      </c>
      <c r="B3" s="471"/>
      <c r="C3" s="471"/>
      <c r="D3" s="471"/>
      <c r="E3" s="471"/>
      <c r="F3" s="471"/>
      <c r="G3" s="471"/>
      <c r="H3" s="471"/>
      <c r="I3" s="471"/>
      <c r="J3" s="471"/>
      <c r="K3" s="471"/>
      <c r="L3" s="471"/>
      <c r="M3" s="471"/>
      <c r="N3" s="471"/>
      <c r="O3" s="471"/>
      <c r="P3" s="471"/>
      <c r="Q3" s="471"/>
      <c r="R3" s="471"/>
      <c r="S3" s="471"/>
      <c r="T3" s="471"/>
      <c r="U3" s="471"/>
      <c r="V3" s="471"/>
      <c r="W3" s="471"/>
      <c r="X3" s="472"/>
      <c r="Y3" s="392" t="s">
        <v>135</v>
      </c>
      <c r="Z3" s="391"/>
      <c r="AA3" s="391"/>
      <c r="AB3" s="391"/>
      <c r="AC3" s="391"/>
      <c r="AD3" s="391"/>
      <c r="AE3" s="391"/>
      <c r="AF3" s="480" t="str">
        <f>IF(AK7="Select","",LOOKUP(AK7,PantheonList!A18:A139,PantheonList!H18:H139))</f>
        <v/>
      </c>
      <c r="AG3" s="480"/>
      <c r="AH3" s="480"/>
      <c r="AI3" s="480"/>
      <c r="AJ3" s="480"/>
      <c r="AK3" s="480"/>
      <c r="AL3" s="480"/>
      <c r="AM3" s="480"/>
      <c r="AN3" s="480"/>
      <c r="AO3" s="480"/>
      <c r="AP3" s="480"/>
      <c r="AQ3" s="480"/>
      <c r="AR3" s="480"/>
      <c r="AS3" s="480"/>
      <c r="AT3" s="480"/>
      <c r="AU3" s="480"/>
      <c r="AV3" s="481"/>
      <c r="AW3" s="424" t="s">
        <v>122</v>
      </c>
      <c r="AX3" s="422"/>
      <c r="AY3" s="422"/>
      <c r="AZ3" s="422"/>
      <c r="BA3" s="422" t="s">
        <v>75</v>
      </c>
      <c r="BB3" s="422"/>
      <c r="BC3" s="280" t="s">
        <v>123</v>
      </c>
      <c r="BD3" s="422" t="s">
        <v>124</v>
      </c>
      <c r="BE3" s="422"/>
      <c r="BF3" s="422"/>
      <c r="BG3" s="422" t="s">
        <v>125</v>
      </c>
      <c r="BH3" s="422"/>
      <c r="BI3" s="422"/>
      <c r="BJ3" s="280" t="s">
        <v>126</v>
      </c>
      <c r="BK3" s="280" t="s">
        <v>966</v>
      </c>
      <c r="BL3" s="422" t="s">
        <v>128</v>
      </c>
      <c r="BM3" s="422"/>
      <c r="BN3" s="278" t="s">
        <v>130</v>
      </c>
      <c r="BO3" s="281" t="s">
        <v>1816</v>
      </c>
      <c r="BP3" s="280" t="s">
        <v>1817</v>
      </c>
      <c r="BQ3" s="422" t="s">
        <v>132</v>
      </c>
      <c r="BR3" s="422"/>
      <c r="BS3" s="422" t="s">
        <v>125</v>
      </c>
      <c r="BT3" s="423"/>
      <c r="BU3" s="390" t="s">
        <v>946</v>
      </c>
      <c r="BV3" s="391"/>
      <c r="BW3" s="391"/>
      <c r="BX3" s="391"/>
      <c r="BY3" s="370"/>
      <c r="BZ3" s="370"/>
      <c r="CA3" s="370"/>
      <c r="CB3" s="371"/>
      <c r="CC3" s="392" t="s">
        <v>948</v>
      </c>
      <c r="CD3" s="391"/>
      <c r="CE3" s="391"/>
      <c r="CF3" s="391"/>
      <c r="CG3" s="370"/>
      <c r="CH3" s="370"/>
      <c r="CI3" s="370"/>
      <c r="CJ3" s="397"/>
      <c r="CK3" s="392" t="s">
        <v>952</v>
      </c>
      <c r="CL3" s="391"/>
      <c r="CM3" s="391"/>
      <c r="CN3" s="391"/>
      <c r="CO3" s="370"/>
      <c r="CP3" s="370"/>
      <c r="CQ3" s="370"/>
      <c r="CR3" s="371"/>
      <c r="CS3" s="399" t="s">
        <v>707</v>
      </c>
      <c r="CT3" s="400"/>
      <c r="CU3" s="400"/>
      <c r="CV3" s="400" t="s">
        <v>122</v>
      </c>
      <c r="CW3" s="400"/>
      <c r="CX3" s="400"/>
      <c r="CY3" s="400"/>
      <c r="CZ3" s="400"/>
      <c r="DA3" s="400"/>
      <c r="DB3" s="400" t="s">
        <v>75</v>
      </c>
      <c r="DC3" s="400"/>
      <c r="DD3" s="227" t="s">
        <v>123</v>
      </c>
      <c r="DE3" s="400" t="s">
        <v>124</v>
      </c>
      <c r="DF3" s="400"/>
      <c r="DG3" s="400"/>
      <c r="DH3" s="400" t="s">
        <v>125</v>
      </c>
      <c r="DI3" s="400"/>
      <c r="DJ3" s="400"/>
      <c r="DK3" s="227" t="s">
        <v>126</v>
      </c>
      <c r="DL3" s="400" t="s">
        <v>127</v>
      </c>
      <c r="DM3" s="400"/>
      <c r="DN3" s="400" t="s">
        <v>128</v>
      </c>
      <c r="DO3" s="400"/>
      <c r="DP3" s="228" t="s">
        <v>130</v>
      </c>
      <c r="DQ3" s="28" t="s">
        <v>838</v>
      </c>
      <c r="DR3" s="28" t="s">
        <v>839</v>
      </c>
      <c r="DS3" s="28" t="s">
        <v>840</v>
      </c>
    </row>
    <row r="4" spans="1:123" ht="15.75" thickBot="1" x14ac:dyDescent="0.3">
      <c r="A4" s="376"/>
      <c r="B4" s="377"/>
      <c r="C4" s="377"/>
      <c r="D4" s="377"/>
      <c r="E4" s="377"/>
      <c r="F4" s="377"/>
      <c r="G4" s="377"/>
      <c r="H4" s="377"/>
      <c r="I4" s="377"/>
      <c r="J4" s="377"/>
      <c r="K4" s="377"/>
      <c r="L4" s="377"/>
      <c r="M4" s="377"/>
      <c r="N4" s="377"/>
      <c r="O4" s="377"/>
      <c r="P4" s="377"/>
      <c r="Q4" s="377"/>
      <c r="R4" s="377"/>
      <c r="S4" s="377"/>
      <c r="T4" s="377"/>
      <c r="U4" s="377"/>
      <c r="V4" s="377"/>
      <c r="W4" s="377"/>
      <c r="X4" s="427"/>
      <c r="Y4" s="396"/>
      <c r="Z4" s="395"/>
      <c r="AA4" s="395"/>
      <c r="AB4" s="395"/>
      <c r="AC4" s="395"/>
      <c r="AD4" s="395"/>
      <c r="AE4" s="395"/>
      <c r="AF4" s="482"/>
      <c r="AG4" s="482"/>
      <c r="AH4" s="482"/>
      <c r="AI4" s="482"/>
      <c r="AJ4" s="482"/>
      <c r="AK4" s="482"/>
      <c r="AL4" s="482"/>
      <c r="AM4" s="482"/>
      <c r="AN4" s="482"/>
      <c r="AO4" s="482"/>
      <c r="AP4" s="482"/>
      <c r="AQ4" s="482"/>
      <c r="AR4" s="482"/>
      <c r="AS4" s="482"/>
      <c r="AT4" s="482"/>
      <c r="AU4" s="482"/>
      <c r="AV4" s="483"/>
      <c r="AW4" s="425"/>
      <c r="AX4" s="370"/>
      <c r="AY4" s="370"/>
      <c r="AZ4" s="370"/>
      <c r="BA4" s="417" t="str">
        <f>IF(AW4="Custom1",DB$4,IF(AW4="Custom2",DB$5,IF(AW4="Custom3",DB$6,IF(AW4="Custom4",DB$7,IF(AW4="Custom5",DB$8,IF(AW4="Custom6",DB$9,IF(AW4="Custom7",DB$10,IF(AW4="Custom8",DB$11,IF(AW4="Custom9",DB$12,IF(AW4="Custom10",DB$13,IF(AW4="","",LOOKUP(AW4,ArmoryRef!$A$2:$A$116,ArmoryRef!$B$2:$B$116))))))))))))</f>
        <v/>
      </c>
      <c r="BB4" s="417"/>
      <c r="BC4" s="277">
        <f>IF(AW4="Custom1",DD$4,IF(AW4="Custom2",DD$5,IF(AW4="Custom3",DD$6,IF(AW4="Custom4",DD$7,IF(AW4="Custom5",DD$8,IF(AW4="Custom6",DD$9,IF(AW4="Custom7",DD$10,IF(AW4="Custom8",DD$11,IF(AW4="Custom9",DD$12,IF(AW4="Custom10",DD$13,IF(AW4="","0",LOOKUP(AW4,ArmoryRef!$A$2:$A$116,ArmoryRef!$J$2:$J$116))))))))))))+IF(BO4="","0",BO4)</f>
        <v>0</v>
      </c>
      <c r="BD4" s="277">
        <f>IF(AW4="","0",IF(OR(AW4=$CS$4,AW4=$CS$5,AW4=$CS$6,AW4=$CS$7,AW4=$CS$8,AW4=$CS$9,AW4=$CS$10,AW4=$CS$10,AW4=$CS$11,$CS$12=AW4,AW4=$CS$13),LOOKUP(AW4,$CS$4:$CU$13,$DQ$4:$DQ$13),LOOKUP(AW4,ArmoryRef!$A$2:$A$116,ArmoryRef!$D$2:$D$116)))+IF(BQ4="","0",BQ4)</f>
        <v>0</v>
      </c>
      <c r="BE4" s="277" t="s">
        <v>98</v>
      </c>
      <c r="BF4" s="277" t="str">
        <f t="shared" ref="BF4" si="0">IF(AW4="","",$G$7)</f>
        <v/>
      </c>
      <c r="BG4" s="277">
        <f>IF(AW4="","0",IF(OR(AW4=$CS$4,AW4=$CS$5,AW4=$CS$6,AW4=$CS$7,AW4=$CS$8,AW4=$CS$9,AW4=$CS$10,AW4=$CS$10,AW4=$CS$11,$CS$12=AW4,AW4=$CS$13),LOOKUP(AW4,$CS$4:$CU$13,$DR$4:$DR$13),LOOKUP(AW4,ArmoryRef!$A$2:$A$116,ArmoryRef!$F$2:$F$116)))+IF(BS4="","0",BS4)</f>
        <v>0</v>
      </c>
      <c r="BH4" s="277" t="s">
        <v>98</v>
      </c>
      <c r="BI4" s="277" t="str">
        <f t="shared" ref="BI4:BI17" si="1">IF(AW4="","",IF(OR(BA4="melee",BA4="brawl"),$G$6,0))</f>
        <v/>
      </c>
      <c r="BJ4" s="277" t="str">
        <f>IF(AW4="Custom1",DK$4,IF(AW4="Custom2",DK$5,IF(AW4="Custom3",DK$6,IF(AW4="Custom4",DK$7,IF(AW4="Custom5",DK$8,IF(AW4="Custom6",DK$9,IF(AW4="Custom7",DK$10,IF(AW4="Custom8",DK$11,IF(AW4="Custom9",DK$12,IF(AW4="Custom10",DK$13,IF(AW4="","",LOOKUP(AW4,ArmoryRef!$A$2:$A$116,ArmoryRef!$G$2:$G$116))))))))))))</f>
        <v/>
      </c>
      <c r="BK4" s="272" t="str">
        <f>IF(AW4="","",IF(OR(BA4="Marks",BA4="Thrown",AW4="Clinch"),"--",IF(OR(AW4=$CS$4,AW4=$CS$5,AW4=$CS$6,AW4=$CS$7,AW4=$CS$8,AW4=$CS$9,AW4=$CS$10,AW4=$CS$10,AW4=$CS$11,$CS$12=AW4,AW4=$CS$13),LOOKUP(AW4,$CS$4:$CU$13,$DS$4:$DS$13),LOOKUP(AW4,ArmoryRef!$A$2:$A$116,ArmoryRef!$I$2:$I$116))+IF(AW4="","",IF(BP4="","0",BP4))))</f>
        <v/>
      </c>
      <c r="BL4" s="417" t="str">
        <f>IF(AW4="Custom1",DN$4,IF(AW4="Custom2",DN$5,IF(AW4="Custom3",DN$6,IF(AW4="Custom4",DN$7,IF(AW4="Custom5",DN$8,IF(AW4="Custom6",DN$9,IF(AW4="Custom7",DN$10,IF(AW4="Custom8",DN$11,IF(AW4="Custom9",DN$12,IF(AW4="Custom10",DN$13,IF(AW4="","",LOOKUP(AW4,ArmoryRef!$A$2:$A$116,ArmoryRef!$K$2:$K$116))))))))))))</f>
        <v/>
      </c>
      <c r="BM4" s="417"/>
      <c r="BN4" s="277" t="str">
        <f>IF(AW4="Custom1",DP$4,IF(AW4="Custom2",DP$5,IF(AW4="Custom3",DP$6,IF(AW4="Custom4",DP$7,IF(AW4="Custom5",DP$8,IF(AW4="Custom6",DP$9,IF(AW4="Custom7",DP$10,IF(AW4="Custom8",DP$11,IF(AW4="Custom9",DP$12,IF(AW4="Custom10",DP$13,IF(AW4="","",LOOKUP(AW4,ArmoryRef!$A$2:$A$116,ArmoryRef!$L$2:$L$116))))))))))))</f>
        <v/>
      </c>
      <c r="BO4" s="275"/>
      <c r="BP4" s="275"/>
      <c r="BQ4" s="370"/>
      <c r="BR4" s="370"/>
      <c r="BS4" s="370"/>
      <c r="BT4" s="371"/>
      <c r="BU4" s="388" t="s">
        <v>947</v>
      </c>
      <c r="BV4" s="389"/>
      <c r="BW4" s="389"/>
      <c r="BX4" s="389"/>
      <c r="BY4" s="363"/>
      <c r="BZ4" s="363"/>
      <c r="CA4" s="363"/>
      <c r="CB4" s="369"/>
      <c r="CC4" s="393" t="s">
        <v>949</v>
      </c>
      <c r="CD4" s="389"/>
      <c r="CE4" s="389"/>
      <c r="CF4" s="389"/>
      <c r="CG4" s="363"/>
      <c r="CH4" s="363"/>
      <c r="CI4" s="363"/>
      <c r="CJ4" s="398"/>
      <c r="CK4" s="393" t="s">
        <v>953</v>
      </c>
      <c r="CL4" s="389"/>
      <c r="CM4" s="389"/>
      <c r="CN4" s="389"/>
      <c r="CO4" s="363"/>
      <c r="CP4" s="363"/>
      <c r="CQ4" s="363"/>
      <c r="CR4" s="369"/>
      <c r="CS4" s="491" t="s">
        <v>841</v>
      </c>
      <c r="CT4" s="492"/>
      <c r="CU4" s="492"/>
      <c r="CV4" s="495"/>
      <c r="CW4" s="495"/>
      <c r="CX4" s="495"/>
      <c r="CY4" s="495"/>
      <c r="CZ4" s="495"/>
      <c r="DA4" s="495"/>
      <c r="DB4" s="495"/>
      <c r="DC4" s="495"/>
      <c r="DD4" s="284"/>
      <c r="DE4" s="495"/>
      <c r="DF4" s="495"/>
      <c r="DG4" s="495"/>
      <c r="DH4" s="495"/>
      <c r="DI4" s="495"/>
      <c r="DJ4" s="495"/>
      <c r="DK4" s="284"/>
      <c r="DL4" s="501"/>
      <c r="DM4" s="495"/>
      <c r="DN4" s="495"/>
      <c r="DO4" s="495"/>
      <c r="DP4" s="285"/>
      <c r="DQ4" s="28" t="str">
        <f>IF(DB4="marks",$E$7+DE4+$M$13+$O$13,IF(DB4="brawl",$E$7+$E$16+DE4+$G$16,IF(DB4="thrown",$E$7+DE4+$M$21+$O$21,IF(DB4="melee",$M$14+$E$7+DE4+$O$14,""))))</f>
        <v/>
      </c>
      <c r="DR4" s="28" t="str">
        <f>IF(DB4="marks",DH4+$M$13+$O$13+1,IF(DB4="brawl",$E$6+$E$16+$G$16+DH4+1,IF(DB4="thrown",DH4+$M$21+$O$21+1,IF(DB4="melee",$M$14+$O$14+$E$6+DH4+1,""))))</f>
        <v/>
      </c>
      <c r="DS4" s="28" t="str">
        <f>IF(DB4="brawl",(DL4+$E$7+$E$16+$G$16)/2+$G$7,IF(DB4="melee",($E$7+$M$14+$O$14+DL4)/2+$G$7,""))</f>
        <v/>
      </c>
    </row>
    <row r="5" spans="1:123" ht="15.75" thickBot="1" x14ac:dyDescent="0.3">
      <c r="A5" s="392" t="s">
        <v>147</v>
      </c>
      <c r="B5" s="391"/>
      <c r="C5" s="391"/>
      <c r="D5" s="391"/>
      <c r="E5" s="257" t="s">
        <v>76</v>
      </c>
      <c r="F5" s="257" t="s">
        <v>66</v>
      </c>
      <c r="G5" s="391" t="s">
        <v>11</v>
      </c>
      <c r="H5" s="409"/>
      <c r="I5" s="392" t="s">
        <v>148</v>
      </c>
      <c r="J5" s="391"/>
      <c r="K5" s="391"/>
      <c r="L5" s="391"/>
      <c r="M5" s="257" t="s">
        <v>76</v>
      </c>
      <c r="N5" s="257" t="s">
        <v>66</v>
      </c>
      <c r="O5" s="391" t="s">
        <v>11</v>
      </c>
      <c r="P5" s="409"/>
      <c r="Q5" s="392" t="s">
        <v>149</v>
      </c>
      <c r="R5" s="391"/>
      <c r="S5" s="391"/>
      <c r="T5" s="391"/>
      <c r="U5" s="257" t="s">
        <v>76</v>
      </c>
      <c r="V5" s="257" t="s">
        <v>66</v>
      </c>
      <c r="W5" s="391" t="s">
        <v>11</v>
      </c>
      <c r="X5" s="473"/>
      <c r="Y5" s="392" t="s">
        <v>63</v>
      </c>
      <c r="Z5" s="391"/>
      <c r="AA5" s="391"/>
      <c r="AB5" s="391"/>
      <c r="AC5" s="391"/>
      <c r="AD5" s="391"/>
      <c r="AE5" s="391"/>
      <c r="AF5" s="480" t="str">
        <f>IF(AK7="Select","",LOOKUP(AK7,PantheonList!A18:A139,PantheonList!I18:I139))</f>
        <v/>
      </c>
      <c r="AG5" s="480"/>
      <c r="AH5" s="480"/>
      <c r="AI5" s="480"/>
      <c r="AJ5" s="480"/>
      <c r="AK5" s="480"/>
      <c r="AL5" s="480"/>
      <c r="AM5" s="480"/>
      <c r="AN5" s="480"/>
      <c r="AO5" s="480"/>
      <c r="AP5" s="480"/>
      <c r="AQ5" s="480"/>
      <c r="AR5" s="480"/>
      <c r="AS5" s="480"/>
      <c r="AT5" s="480"/>
      <c r="AU5" s="480"/>
      <c r="AV5" s="484"/>
      <c r="AW5" s="362"/>
      <c r="AX5" s="363"/>
      <c r="AY5" s="363"/>
      <c r="AZ5" s="363"/>
      <c r="BA5" s="356" t="str">
        <f>IF(AW5="Custom1",DB$4,IF(AW5="Custom2",DB$5,IF(AW5="Custom3",DB$6,IF(AW5="Custom4",DB$7,IF(AW5="Custom5",DB$8,IF(AW5="Custom6",DB$9,IF(AW5="Custom7",DB$10,IF(AW5="Custom8",DB$11,IF(AW5="Custom9",DB$12,IF(AW5="Custom10",DB$13,IF(AW5="","",LOOKUP(AW5,ArmoryRef!$A$2:$A$116,ArmoryRef!$B$2:$B$116))))))))))))</f>
        <v/>
      </c>
      <c r="BB5" s="356"/>
      <c r="BC5" s="272">
        <f>IF(AW5="Custom1",DD$4,IF(AW5="Custom2",DD$5,IF(AW5="Custom3",DD$6,IF(AW5="Custom4",DD$7,IF(AW5="Custom5",DD$8,IF(AW5="Custom6",DD$9,IF(AW5="Custom7",DD$10,IF(AW5="Custom8",DD$11,IF(AW5="Custom9",DD$12,IF(AW5="Custom10",DD$13,IF(AW5="","0",LOOKUP(AW5,ArmoryRef!$A$2:$A$116,ArmoryRef!$J$2:$J$116))))))))))))+IF(BO5="","0",BO5)</f>
        <v>0</v>
      </c>
      <c r="BD5" s="272">
        <f>IF(AW5="","0",IF(OR(AW5=$CS$4,AW5=$CS$5,AW5=$CS$6,AW5=$CS$7,AW5=$CS$8,AW5=$CS$9,AW5=$CS$10,AW5=$CS$10,AW5=$CS$11,$CS$12=AW5,AW5=$CS$13),LOOKUP(AW5,$CS$4:$CU$13,$DQ$4:$DQ$13),LOOKUP(AW5,ArmoryRef!$A$2:$A$116,ArmoryRef!$D$2:$D$116)))+IF(BQ5="","0",BQ5)</f>
        <v>0</v>
      </c>
      <c r="BE5" s="272" t="s">
        <v>98</v>
      </c>
      <c r="BF5" s="272" t="str">
        <f t="shared" ref="BF5:BF17" si="2">IF(AW5="","",$G$7)</f>
        <v/>
      </c>
      <c r="BG5" s="272">
        <f>IF(AW5="","0",IF(OR(AW5=$CS$4,AW5=$CS$5,AW5=$CS$6,AW5=$CS$7,AW5=$CS$8,AW5=$CS$9,AW5=$CS$10,AW5=$CS$10,AW5=$CS$11,$CS$12=AW5,AW5=$CS$13),LOOKUP(AW5,$CS$4:$CU$13,$DR$4:$DR$13),LOOKUP(AW5,ArmoryRef!$A$2:$A$116,ArmoryRef!$F$2:$F$116)))+IF(BS5="","0",BS5)</f>
        <v>0</v>
      </c>
      <c r="BH5" s="272" t="s">
        <v>98</v>
      </c>
      <c r="BI5" s="272" t="str">
        <f t="shared" si="1"/>
        <v/>
      </c>
      <c r="BJ5" s="272" t="str">
        <f>IF(AW5="Custom1",DK$4,IF(AW5="Custom2",DK$5,IF(AW5="Custom3",DK$6,IF(AW5="Custom4",DK$7,IF(AW5="Custom5",DK$8,IF(AW5="Custom6",DK$9,IF(AW5="Custom7",DK$10,IF(AW5="Custom8",DK$11,IF(AW5="Custom9",DK$12,IF(AW5="Custom10",DK$13,IF(AW5="","",LOOKUP(AW5,ArmoryRef!$A$2:$A$116,ArmoryRef!$G$2:$G$116))))))))))))</f>
        <v/>
      </c>
      <c r="BK5" s="272" t="str">
        <f>IF(AW5="","",IF(OR(BA5="Marks",BA5="Thrown",AW5="Clinch"),"--",IF(OR(AW5=$CS$4,AW5=$CS$5,AW5=$CS$6,AW5=$CS$7,AW5=$CS$8,AW5=$CS$9,AW5=$CS$10,AW5=$CS$10,AW5=$CS$11,$CS$12=AW5,AW5=$CS$13),LOOKUP(AW5,$CS$4:$CU$13,$DS$4:$DS$13),LOOKUP(AW5,ArmoryRef!$A$2:$A$116,ArmoryRef!$I$2:$I$116))+IF(AW5="","",IF(BP5="","0",BP5))))</f>
        <v/>
      </c>
      <c r="BL5" s="356" t="str">
        <f>IF(AW5="Custom1",DN$4,IF(AW5="Custom2",DN$5,IF(AW5="Custom3",DN$6,IF(AW5="Custom4",DN$7,IF(AW5="Custom5",DN$8,IF(AW5="Custom6",DN$9,IF(AW5="Custom7",DN$10,IF(AW5="Custom8",DN$11,IF(AW5="Custom9",DN$12,IF(AW5="Custom10",DN$13,IF(AW5="","",LOOKUP(AW5,ArmoryRef!$A$2:$A$116,ArmoryRef!$K$2:$K$116))))))))))))</f>
        <v/>
      </c>
      <c r="BM5" s="356"/>
      <c r="BN5" s="272" t="str">
        <f>IF(AW5="Custom1",DP$4,IF(AW5="Custom2",DP$5,IF(AW5="Custom3",DP$6,IF(AW5="Custom4",DP$7,IF(AW5="Custom5",DP$8,IF(AW5="Custom6",DP$9,IF(AW5="Custom7",DP$10,IF(AW5="Custom8",DP$11,IF(AW5="Custom9",DP$12,IF(AW5="Custom10",DP$13,IF(AW5="","",LOOKUP(AW5,ArmoryRef!$A$2:$A$116,ArmoryRef!$L$2:$L$116))))))))))))</f>
        <v/>
      </c>
      <c r="BO5" s="273"/>
      <c r="BP5" s="273"/>
      <c r="BQ5" s="363"/>
      <c r="BR5" s="363"/>
      <c r="BS5" s="363"/>
      <c r="BT5" s="369"/>
      <c r="BU5" s="394" t="s">
        <v>950</v>
      </c>
      <c r="BV5" s="395"/>
      <c r="BW5" s="395"/>
      <c r="BX5" s="395"/>
      <c r="BY5" s="366"/>
      <c r="BZ5" s="366"/>
      <c r="CA5" s="366"/>
      <c r="CB5" s="372"/>
      <c r="CC5" s="396" t="s">
        <v>951</v>
      </c>
      <c r="CD5" s="395"/>
      <c r="CE5" s="395"/>
      <c r="CF5" s="395"/>
      <c r="CG5" s="366"/>
      <c r="CH5" s="366"/>
      <c r="CI5" s="366"/>
      <c r="CJ5" s="367"/>
      <c r="CK5" s="396" t="s">
        <v>954</v>
      </c>
      <c r="CL5" s="395"/>
      <c r="CM5" s="395"/>
      <c r="CN5" s="395"/>
      <c r="CO5" s="366"/>
      <c r="CP5" s="366"/>
      <c r="CQ5" s="366"/>
      <c r="CR5" s="372"/>
      <c r="CS5" s="493" t="s">
        <v>842</v>
      </c>
      <c r="CT5" s="403"/>
      <c r="CU5" s="403"/>
      <c r="CV5" s="359"/>
      <c r="CW5" s="359"/>
      <c r="CX5" s="359"/>
      <c r="CY5" s="359"/>
      <c r="CZ5" s="359"/>
      <c r="DA5" s="359"/>
      <c r="DB5" s="359"/>
      <c r="DC5" s="359"/>
      <c r="DD5" s="232"/>
      <c r="DE5" s="359"/>
      <c r="DF5" s="359"/>
      <c r="DG5" s="359"/>
      <c r="DH5" s="359"/>
      <c r="DI5" s="359"/>
      <c r="DJ5" s="359"/>
      <c r="DK5" s="232"/>
      <c r="DL5" s="359"/>
      <c r="DM5" s="359"/>
      <c r="DN5" s="359"/>
      <c r="DO5" s="359"/>
      <c r="DP5" s="233"/>
      <c r="DQ5" s="28" t="str">
        <f t="shared" ref="DQ5:DQ13" si="3">IF(DB5="marks",$E$7+DE5+$M$13+$O$13,IF(DB5="brawl",$E$7+$E$16+DE5+$G$16,IF(DB5="thrown",$E$7+DE5+$M$21+$O$21,IF(DB5="melee",$M$14+$E$7+DE5+$O$14,""))))</f>
        <v/>
      </c>
      <c r="DR5" s="28" t="str">
        <f t="shared" ref="DR5:DR13" si="4">IF(DB5="marks",DH5+$M$13+$O$13+1,IF(DB5="brawl",$E$6+$E$16+$G$16+DH5+1,IF(DB5="thrown",DH5+$M$21+$O$21+1,IF(DB5="melee",$M$14+$O$14+$E$6+DH5+1,""))))</f>
        <v/>
      </c>
      <c r="DS5" s="28" t="str">
        <f t="shared" ref="DS5:DS13" si="5">IF(DB5="brawl",(DL5+$E$7+$E$16+$G$16)/2+$G$7,IF(DB5="melee",($E$7+$M$14+$O$14+DL5)/2+$G$7,""))</f>
        <v/>
      </c>
    </row>
    <row r="6" spans="1:123" ht="15.75" thickBot="1" x14ac:dyDescent="0.3">
      <c r="A6" s="393" t="s">
        <v>30</v>
      </c>
      <c r="B6" s="389"/>
      <c r="C6" s="389"/>
      <c r="D6" s="389"/>
      <c r="E6" s="256">
        <f>SUM(DotTracking!E6:O6,DotTracking!AC6:AM6,DotTracking!BA6:BK6,DotTracking!BY6:CI6,DotTracking!CW6:DG6)</f>
        <v>1</v>
      </c>
      <c r="F6" s="256">
        <f>SUM(DotTracking!E16:O16,DotTracking!AC16:AM16,DotTracking!BA16:BK16,DotTracking!BY16:CI16,DotTracking!CW16:DG16)</f>
        <v>0</v>
      </c>
      <c r="G6" s="356">
        <f>LOOKUP(F6,Reference!$D$2:$D$12,Reference!$E$2:$E$12)</f>
        <v>0</v>
      </c>
      <c r="H6" s="401"/>
      <c r="I6" s="393" t="s">
        <v>16</v>
      </c>
      <c r="J6" s="389"/>
      <c r="K6" s="389"/>
      <c r="L6" s="389"/>
      <c r="M6" s="256">
        <f>SUM(DotTracking!E9:O9,DotTracking!AC9:AM9,DotTracking!BA9:BK9,DotTracking!BY9:CI9,DotTracking!CW9:DG9)</f>
        <v>1</v>
      </c>
      <c r="N6" s="256">
        <f>SUM(DotTracking!E19:O19,DotTracking!AC19:AM19,DotTracking!BA19:BK19,DotTracking!BY19:CI19,DotTracking!CW19:DG19)</f>
        <v>0</v>
      </c>
      <c r="O6" s="356">
        <f>LOOKUP(N6,Reference!$D$2:$D$12,Reference!$E$2:$E$12)</f>
        <v>0</v>
      </c>
      <c r="P6" s="401"/>
      <c r="Q6" s="393" t="s">
        <v>19</v>
      </c>
      <c r="R6" s="389"/>
      <c r="S6" s="389"/>
      <c r="T6" s="389"/>
      <c r="U6" s="256">
        <f>SUM(DotTracking!E12:O12,DotTracking!AC12:AM12,DotTracking!BA12:BK12,DotTracking!BY12:CI12,DotTracking!CW12:DG12)</f>
        <v>1</v>
      </c>
      <c r="V6" s="256">
        <f>SUM(DotTracking!E22:O22,DotTracking!AC22:AM22,DotTracking!BA22:BK22,DotTracking!BZ22:CI22,DotTracking!BY22,DotTracking!CW22:DG22)</f>
        <v>0</v>
      </c>
      <c r="W6" s="356">
        <f>LOOKUP(V6,Reference!$D$2:$D$12,Reference!$E$2:$E$12)</f>
        <v>0</v>
      </c>
      <c r="X6" s="357"/>
      <c r="Y6" s="419"/>
      <c r="Z6" s="420"/>
      <c r="AA6" s="420"/>
      <c r="AB6" s="420"/>
      <c r="AC6" s="420"/>
      <c r="AD6" s="420"/>
      <c r="AE6" s="420"/>
      <c r="AF6" s="485"/>
      <c r="AG6" s="485"/>
      <c r="AH6" s="485"/>
      <c r="AI6" s="485"/>
      <c r="AJ6" s="485"/>
      <c r="AK6" s="485"/>
      <c r="AL6" s="485"/>
      <c r="AM6" s="485"/>
      <c r="AN6" s="485"/>
      <c r="AO6" s="485"/>
      <c r="AP6" s="485"/>
      <c r="AQ6" s="485"/>
      <c r="AR6" s="485"/>
      <c r="AS6" s="485"/>
      <c r="AT6" s="485"/>
      <c r="AU6" s="485"/>
      <c r="AV6" s="486"/>
      <c r="AW6" s="362"/>
      <c r="AX6" s="363"/>
      <c r="AY6" s="363"/>
      <c r="AZ6" s="363"/>
      <c r="BA6" s="356" t="str">
        <f>IF(AW6="Custom1",DB$4,IF(AW6="Custom2",DB$5,IF(AW6="Custom3",DB$6,IF(AW6="Custom4",DB$7,IF(AW6="Custom5",DB$8,IF(AW6="Custom6",DB$9,IF(AW6="Custom7",DB$10,IF(AW6="Custom8",DB$11,IF(AW6="Custom9",DB$12,IF(AW6="Custom10",DB$13,IF(AW6="","",LOOKUP(AW6,ArmoryRef!$A$2:$A$116,ArmoryRef!$B$2:$B$116))))))))))))</f>
        <v/>
      </c>
      <c r="BB6" s="356"/>
      <c r="BC6" s="272">
        <f>IF(AW6="Custom1",DD$4,IF(AW6="Custom2",DD$5,IF(AW6="Custom3",DD$6,IF(AW6="Custom4",DD$7,IF(AW6="Custom5",DD$8,IF(AW6="Custom6",DD$9,IF(AW6="Custom7",DD$10,IF(AW6="Custom8",DD$11,IF(AW6="Custom9",DD$12,IF(AW6="Custom10",DD$13,IF(AW6="","0",LOOKUP(AW6,ArmoryRef!$A$2:$A$116,ArmoryRef!$J$2:$J$116))))))))))))+IF(BO6="","0",BO6)</f>
        <v>0</v>
      </c>
      <c r="BD6" s="272">
        <f>IF(AW6="","0",IF(OR(AW6=$CS$4,AW6=$CS$5,AW6=$CS$6,AW6=$CS$7,AW6=$CS$8,AW6=$CS$9,AW6=$CS$10,AW6=$CS$10,AW6=$CS$11,$CS$12=AW6,AW6=$CS$13),LOOKUP(AW6,$CS$4:$CU$13,$DQ$4:$DQ$13),LOOKUP(AW6,ArmoryRef!$A$2:$A$116,ArmoryRef!$D$2:$D$116)))+IF(BQ6="","0",BQ6)</f>
        <v>0</v>
      </c>
      <c r="BE6" s="272" t="s">
        <v>98</v>
      </c>
      <c r="BF6" s="272" t="str">
        <f t="shared" si="2"/>
        <v/>
      </c>
      <c r="BG6" s="272">
        <f>IF(AW6="","0",IF(OR(AW6=$CS$4,AW6=$CS$5,AW6=$CS$6,AW6=$CS$7,AW6=$CS$8,AW6=$CS$9,AW6=$CS$10,AW6=$CS$10,AW6=$CS$11,$CS$12=AW6,AW6=$CS$13),LOOKUP(AW6,$CS$4:$CU$13,$DR$4:$DR$13),LOOKUP(AW6,ArmoryRef!$A$2:$A$116,ArmoryRef!$F$2:$F$116)))+IF(BS6="","0",BS6)</f>
        <v>0</v>
      </c>
      <c r="BH6" s="272" t="s">
        <v>98</v>
      </c>
      <c r="BI6" s="272" t="str">
        <f t="shared" si="1"/>
        <v/>
      </c>
      <c r="BJ6" s="272" t="str">
        <f>IF(AW6="Custom1",DK$4,IF(AW6="Custom2",DK$5,IF(AW6="Custom3",DK$6,IF(AW6="Custom4",DK$7,IF(AW6="Custom5",DK$8,IF(AW6="Custom6",DK$9,IF(AW6="Custom7",DK$10,IF(AW6="Custom8",DK$11,IF(AW6="Custom9",DK$12,IF(AW6="Custom10",DK$13,IF(AW6="","",LOOKUP(AW6,ArmoryRef!$A$2:$A$116,ArmoryRef!$G$2:$G$116))))))))))))</f>
        <v/>
      </c>
      <c r="BK6" s="272" t="str">
        <f>IF(AW6="","",IF(OR(BA6="Marks",BA6="Thrown",AW6="Clinch"),"--",IF(OR(AW6=$CS$4,AW6=$CS$5,AW6=$CS$6,AW6=$CS$7,AW6=$CS$8,AW6=$CS$9,AW6=$CS$10,AW6=$CS$10,AW6=$CS$11,$CS$12=AW6,AW6=$CS$13),LOOKUP(AW6,$CS$4:$CU$13,$DS$4:$DS$13),LOOKUP(AW6,ArmoryRef!$A$2:$A$116,ArmoryRef!$I$2:$I$116))+IF(AW6="","",IF(BP6="","0",BP6))))</f>
        <v/>
      </c>
      <c r="BL6" s="356" t="str">
        <f>IF(AW6="Custom1",DN$4,IF(AW6="Custom2",DN$5,IF(AW6="Custom3",DN$6,IF(AW6="Custom4",DN$7,IF(AW6="Custom5",DN$8,IF(AW6="Custom6",DN$9,IF(AW6="Custom7",DN$10,IF(AW6="Custom8",DN$11,IF(AW6="Custom9",DN$12,IF(AW6="Custom10",DN$13,IF(AW6="","",LOOKUP(AW6,ArmoryRef!$A$2:$A$116,ArmoryRef!$K$2:$K$116))))))))))))</f>
        <v/>
      </c>
      <c r="BM6" s="356"/>
      <c r="BN6" s="272" t="str">
        <f>IF(AW6="Custom1",DP$4,IF(AW6="Custom2",DP$5,IF(AW6="Custom3",DP$6,IF(AW6="Custom4",DP$7,IF(AW6="Custom5",DP$8,IF(AW6="Custom6",DP$9,IF(AW6="Custom7",DP$10,IF(AW6="Custom8",DP$11,IF(AW6="Custom9",DP$12,IF(AW6="Custom10",DP$13,IF(AW6="","",LOOKUP(AW6,ArmoryRef!$A$2:$A$116,ArmoryRef!$L$2:$L$116))))))))))))</f>
        <v/>
      </c>
      <c r="BO6" s="273"/>
      <c r="BP6" s="273"/>
      <c r="BQ6" s="363"/>
      <c r="BR6" s="363"/>
      <c r="BS6" s="363"/>
      <c r="BT6" s="369"/>
      <c r="BU6" s="380" t="s">
        <v>956</v>
      </c>
      <c r="BV6" s="381"/>
      <c r="BW6" s="381"/>
      <c r="BX6" s="381"/>
      <c r="BY6" s="381"/>
      <c r="BZ6" s="381"/>
      <c r="CA6" s="381"/>
      <c r="CB6" s="381"/>
      <c r="CC6" s="381"/>
      <c r="CD6" s="381"/>
      <c r="CE6" s="381"/>
      <c r="CF6" s="381"/>
      <c r="CG6" s="381"/>
      <c r="CH6" s="381"/>
      <c r="CI6" s="381"/>
      <c r="CJ6" s="381"/>
      <c r="CK6" s="386"/>
      <c r="CL6" s="386"/>
      <c r="CM6" s="386"/>
      <c r="CN6" s="386"/>
      <c r="CO6" s="386"/>
      <c r="CP6" s="386"/>
      <c r="CQ6" s="386"/>
      <c r="CR6" s="387"/>
      <c r="CS6" s="494" t="s">
        <v>843</v>
      </c>
      <c r="CT6" s="403"/>
      <c r="CU6" s="403"/>
      <c r="CV6" s="359"/>
      <c r="CW6" s="359"/>
      <c r="CX6" s="359"/>
      <c r="CY6" s="359"/>
      <c r="CZ6" s="359"/>
      <c r="DA6" s="359"/>
      <c r="DB6" s="359"/>
      <c r="DC6" s="359"/>
      <c r="DD6" s="232"/>
      <c r="DE6" s="359"/>
      <c r="DF6" s="359"/>
      <c r="DG6" s="359"/>
      <c r="DH6" s="359"/>
      <c r="DI6" s="359"/>
      <c r="DJ6" s="359"/>
      <c r="DK6" s="232"/>
      <c r="DL6" s="359"/>
      <c r="DM6" s="359"/>
      <c r="DN6" s="359"/>
      <c r="DO6" s="359"/>
      <c r="DP6" s="233"/>
      <c r="DQ6" s="28" t="str">
        <f t="shared" si="3"/>
        <v/>
      </c>
      <c r="DR6" s="28" t="str">
        <f t="shared" si="4"/>
        <v/>
      </c>
      <c r="DS6" s="28" t="str">
        <f t="shared" si="5"/>
        <v/>
      </c>
    </row>
    <row r="7" spans="1:123" ht="15.75" thickBot="1" x14ac:dyDescent="0.3">
      <c r="A7" s="393" t="s">
        <v>13</v>
      </c>
      <c r="B7" s="389"/>
      <c r="C7" s="389"/>
      <c r="D7" s="389"/>
      <c r="E7" s="256">
        <f>SUM(DotTracking!E7:O7,DotTracking!AC7:AM7,DotTracking!BA7:BK7,DotTracking!BY7:CI7,DotTracking!CW7:DG7)</f>
        <v>1</v>
      </c>
      <c r="F7" s="256">
        <f>SUM(DotTracking!E17:O17,DotTracking!AC17:AM17,DotTracking!BA17:BK17,DotTracking!BY17:CI17,DotTracking!CW17:DG17)</f>
        <v>0</v>
      </c>
      <c r="G7" s="356">
        <f>LOOKUP(F7,Reference!$D$2:$D$12,Reference!$E$2:$E$12)</f>
        <v>0</v>
      </c>
      <c r="H7" s="401"/>
      <c r="I7" s="393" t="s">
        <v>17</v>
      </c>
      <c r="J7" s="389"/>
      <c r="K7" s="389"/>
      <c r="L7" s="389"/>
      <c r="M7" s="256">
        <f>SUM(DotTracking!E10:O10,DotTracking!AC10:AM10,DotTracking!BA10:BK10,DotTracking!BY10:CI10,DotTracking!CW10:DG10)</f>
        <v>1</v>
      </c>
      <c r="N7" s="256">
        <f>SUM(DotTracking!E20:O20,DotTracking!AC20:AM20,DotTracking!BA20:BK20,DotTracking!BY20:CI20,DotTracking!CW20:DG20)</f>
        <v>0</v>
      </c>
      <c r="O7" s="356">
        <f>LOOKUP(N7,Reference!$D$2:$D$12,Reference!$E$2:$E$12)</f>
        <v>0</v>
      </c>
      <c r="P7" s="401"/>
      <c r="Q7" s="393" t="s">
        <v>20</v>
      </c>
      <c r="R7" s="389"/>
      <c r="S7" s="389"/>
      <c r="T7" s="389"/>
      <c r="U7" s="256">
        <f>SUM(DotTracking!E13:O13,DotTracking!AC13:AM13,DotTracking!BA13:BK13,DotTracking!BY13:CI13,DotTracking!CW13:DG13)</f>
        <v>1</v>
      </c>
      <c r="V7" s="256">
        <f>SUM(DotTracking!E23:O23,DotTracking!AC23:AM23,DotTracking!BA23:BK23,DotTracking!BZ23:CI23,DotTracking!BY23,DotTracking!CW23:DG23)</f>
        <v>0</v>
      </c>
      <c r="W7" s="356">
        <f>LOOKUP(V7,Reference!$D$2:$D$12,Reference!$E$2:$E$12)</f>
        <v>0</v>
      </c>
      <c r="X7" s="357"/>
      <c r="Y7" s="399" t="s">
        <v>3</v>
      </c>
      <c r="Z7" s="400"/>
      <c r="AA7" s="400"/>
      <c r="AB7" s="400"/>
      <c r="AC7" s="489" t="str">
        <f>IF(GodConversion!CD1="",Creation!M17,GodConversion!CD1)</f>
        <v>Select</v>
      </c>
      <c r="AD7" s="489"/>
      <c r="AE7" s="489"/>
      <c r="AF7" s="490"/>
      <c r="AG7" s="399" t="s">
        <v>5</v>
      </c>
      <c r="AH7" s="400"/>
      <c r="AI7" s="400"/>
      <c r="AJ7" s="400"/>
      <c r="AK7" s="489" t="str">
        <f>Creation!M19</f>
        <v>Select</v>
      </c>
      <c r="AL7" s="489"/>
      <c r="AM7" s="489"/>
      <c r="AN7" s="490"/>
      <c r="AO7" s="399" t="s">
        <v>1815</v>
      </c>
      <c r="AP7" s="400"/>
      <c r="AQ7" s="400"/>
      <c r="AR7" s="400"/>
      <c r="AS7" s="489" t="str">
        <f>IF(AC7="Select","",LOOKUP(AC7,PantheonList!A3:A15,PantheonList!B3:B15))</f>
        <v/>
      </c>
      <c r="AT7" s="489"/>
      <c r="AU7" s="489"/>
      <c r="AV7" s="504"/>
      <c r="AW7" s="362"/>
      <c r="AX7" s="363"/>
      <c r="AY7" s="363"/>
      <c r="AZ7" s="363"/>
      <c r="BA7" s="356" t="str">
        <f>IF(AW7="Custom1",DB$4,IF(AW7="Custom2",DB$5,IF(AW7="Custom3",DB$6,IF(AW7="Custom4",DB$7,IF(AW7="Custom5",DB$8,IF(AW7="Custom6",DB$9,IF(AW7="Custom7",DB$10,IF(AW7="Custom8",DB$11,IF(AW7="Custom9",DB$12,IF(AW7="Custom10",DB$13,IF(AW7="","",LOOKUP(AW7,ArmoryRef!$A$2:$A$116,ArmoryRef!$B$2:$B$116))))))))))))</f>
        <v/>
      </c>
      <c r="BB7" s="356"/>
      <c r="BC7" s="272">
        <f>IF(AW7="Custom1",DD$4,IF(AW7="Custom2",DD$5,IF(AW7="Custom3",DD$6,IF(AW7="Custom4",DD$7,IF(AW7="Custom5",DD$8,IF(AW7="Custom6",DD$9,IF(AW7="Custom7",DD$10,IF(AW7="Custom8",DD$11,IF(AW7="Custom9",DD$12,IF(AW7="Custom10",DD$13,IF(AW7="","0",LOOKUP(AW7,ArmoryRef!$A$2:$A$116,ArmoryRef!$J$2:$J$116))))))))))))+IF(BO7="","0",BO7)</f>
        <v>0</v>
      </c>
      <c r="BD7" s="272">
        <f>IF(AW7="","0",IF(OR(AW7=$CS$4,AW7=$CS$5,AW7=$CS$6,AW7=$CS$7,AW7=$CS$8,AW7=$CS$9,AW7=$CS$10,AW7=$CS$10,AW7=$CS$11,$CS$12=AW7,AW7=$CS$13),LOOKUP(AW7,$CS$4:$CU$13,$DQ$4:$DQ$13),LOOKUP(AW7,ArmoryRef!$A$2:$A$116,ArmoryRef!$D$2:$D$116)))+IF(BQ7="","0",BQ7)</f>
        <v>0</v>
      </c>
      <c r="BE7" s="272" t="s">
        <v>98</v>
      </c>
      <c r="BF7" s="272" t="str">
        <f t="shared" si="2"/>
        <v/>
      </c>
      <c r="BG7" s="272">
        <f>IF(AW7="","0",IF(OR(AW7=$CS$4,AW7=$CS$5,AW7=$CS$6,AW7=$CS$7,AW7=$CS$8,AW7=$CS$9,AW7=$CS$10,AW7=$CS$10,AW7=$CS$11,$CS$12=AW7,AW7=$CS$13),LOOKUP(AW7,$CS$4:$CU$13,$DR$4:$DR$13),LOOKUP(AW7,ArmoryRef!$A$2:$A$116,ArmoryRef!$F$2:$F$116)))+IF(BS7="","0",BS7)</f>
        <v>0</v>
      </c>
      <c r="BH7" s="272" t="s">
        <v>98</v>
      </c>
      <c r="BI7" s="272" t="str">
        <f t="shared" si="1"/>
        <v/>
      </c>
      <c r="BJ7" s="272" t="str">
        <f>IF(AW7="Custom1",DK$4,IF(AW7="Custom2",DK$5,IF(AW7="Custom3",DK$6,IF(AW7="Custom4",DK$7,IF(AW7="Custom5",DK$8,IF(AW7="Custom6",DK$9,IF(AW7="Custom7",DK$10,IF(AW7="Custom8",DK$11,IF(AW7="Custom9",DK$12,IF(AW7="Custom10",DK$13,IF(AW7="","",LOOKUP(AW7,ArmoryRef!$A$2:$A$116,ArmoryRef!$G$2:$G$116))))))))))))</f>
        <v/>
      </c>
      <c r="BK7" s="272" t="str">
        <f>IF(AW7="","",IF(OR(BA7="Marks",BA7="Thrown",AW7="Clinch"),"--",IF(OR(AW7=$CS$4,AW7=$CS$5,AW7=$CS$6,AW7=$CS$7,AW7=$CS$8,AW7=$CS$9,AW7=$CS$10,AW7=$CS$10,AW7=$CS$11,$CS$12=AW7,AW7=$CS$13),LOOKUP(AW7,$CS$4:$CU$13,$DS$4:$DS$13),LOOKUP(AW7,ArmoryRef!$A$2:$A$116,ArmoryRef!$I$2:$I$116))+IF(AW7="","",IF(BP7="","0",BP7))))</f>
        <v/>
      </c>
      <c r="BL7" s="356" t="str">
        <f>IF(AW7="Custom1",DN$4,IF(AW7="Custom2",DN$5,IF(AW7="Custom3",DN$6,IF(AW7="Custom4",DN$7,IF(AW7="Custom5",DN$8,IF(AW7="Custom6",DN$9,IF(AW7="Custom7",DN$10,IF(AW7="Custom8",DN$11,IF(AW7="Custom9",DN$12,IF(AW7="Custom10",DN$13,IF(AW7="","",LOOKUP(AW7,ArmoryRef!$A$2:$A$116,ArmoryRef!$K$2:$K$116))))))))))))</f>
        <v/>
      </c>
      <c r="BM7" s="356"/>
      <c r="BN7" s="272" t="str">
        <f>IF(AW7="Custom1",DP$4,IF(AW7="Custom2",DP$5,IF(AW7="Custom3",DP$6,IF(AW7="Custom4",DP$7,IF(AW7="Custom5",DP$8,IF(AW7="Custom6",DP$9,IF(AW7="Custom7",DP$10,IF(AW7="Custom8",DP$11,IF(AW7="Custom9",DP$12,IF(AW7="Custom10",DP$13,IF(AW7="","",LOOKUP(AW7,ArmoryRef!$A$2:$A$116,ArmoryRef!$L$2:$L$116))))))))))))</f>
        <v/>
      </c>
      <c r="BO7" s="273"/>
      <c r="BP7" s="273"/>
      <c r="BQ7" s="363"/>
      <c r="BR7" s="363"/>
      <c r="BS7" s="363"/>
      <c r="BT7" s="369"/>
      <c r="BU7" s="383"/>
      <c r="BV7" s="384"/>
      <c r="BW7" s="384"/>
      <c r="BX7" s="384"/>
      <c r="BY7" s="384"/>
      <c r="BZ7" s="384"/>
      <c r="CA7" s="384"/>
      <c r="CB7" s="384"/>
      <c r="CC7" s="384"/>
      <c r="CD7" s="384"/>
      <c r="CE7" s="384"/>
      <c r="CF7" s="384"/>
      <c r="CG7" s="384"/>
      <c r="CH7" s="384"/>
      <c r="CI7" s="384"/>
      <c r="CJ7" s="384"/>
      <c r="CK7" s="384"/>
      <c r="CL7" s="384"/>
      <c r="CM7" s="384"/>
      <c r="CN7" s="384"/>
      <c r="CO7" s="384"/>
      <c r="CP7" s="384"/>
      <c r="CQ7" s="384"/>
      <c r="CR7" s="385"/>
      <c r="CS7" s="494" t="s">
        <v>844</v>
      </c>
      <c r="CT7" s="403"/>
      <c r="CU7" s="403"/>
      <c r="CV7" s="359"/>
      <c r="CW7" s="359"/>
      <c r="CX7" s="359"/>
      <c r="CY7" s="359"/>
      <c r="CZ7" s="359"/>
      <c r="DA7" s="359"/>
      <c r="DB7" s="359"/>
      <c r="DC7" s="359"/>
      <c r="DD7" s="232"/>
      <c r="DE7" s="359"/>
      <c r="DF7" s="359"/>
      <c r="DG7" s="359"/>
      <c r="DH7" s="359"/>
      <c r="DI7" s="359"/>
      <c r="DJ7" s="359"/>
      <c r="DK7" s="232"/>
      <c r="DL7" s="359"/>
      <c r="DM7" s="359"/>
      <c r="DN7" s="359"/>
      <c r="DO7" s="359"/>
      <c r="DP7" s="233"/>
      <c r="DQ7" s="28" t="str">
        <f t="shared" si="3"/>
        <v/>
      </c>
      <c r="DR7" s="28" t="str">
        <f t="shared" si="4"/>
        <v/>
      </c>
      <c r="DS7" s="28" t="str">
        <f t="shared" si="5"/>
        <v/>
      </c>
    </row>
    <row r="8" spans="1:123" ht="15.75" thickBot="1" x14ac:dyDescent="0.3">
      <c r="A8" s="396" t="s">
        <v>14</v>
      </c>
      <c r="B8" s="395"/>
      <c r="C8" s="395"/>
      <c r="D8" s="395"/>
      <c r="E8" s="258">
        <f>SUM(DotTracking!E8:O8,DotTracking!AC8:AM8,DotTracking!BA8:BK8,DotTracking!BY8:CI8,DotTracking!CW8:DG8)</f>
        <v>1</v>
      </c>
      <c r="F8" s="258">
        <f>SUM(DotTracking!E18:O18,DotTracking!AC18:AM18,DotTracking!BA18:BK18,DotTracking!BY18:CI18,DotTracking!CW18:DG18)</f>
        <v>0</v>
      </c>
      <c r="G8" s="434">
        <f>LOOKUP(F8,Reference!$D$2:$D$12,Reference!$E$2:$E$12)</f>
        <v>0</v>
      </c>
      <c r="H8" s="474"/>
      <c r="I8" s="396" t="s">
        <v>18</v>
      </c>
      <c r="J8" s="395"/>
      <c r="K8" s="395"/>
      <c r="L8" s="395"/>
      <c r="M8" s="258">
        <f>SUM(DotTracking!E11:O11,DotTracking!AC11:AM11,DotTracking!BA11:BK11,DotTracking!BY11:CI11,DotTracking!CW11:DG11)</f>
        <v>1</v>
      </c>
      <c r="N8" s="258">
        <f>SUM(DotTracking!E21:O21,DotTracking!AC21:AM21,DotTracking!BA21:BK21,DotTracking!BY21:CI21,DotTracking!CW21:DG21)</f>
        <v>0</v>
      </c>
      <c r="O8" s="434">
        <f>LOOKUP(N8,Reference!$D$2:$D$12,Reference!$E$2:$E$12)</f>
        <v>0</v>
      </c>
      <c r="P8" s="474"/>
      <c r="Q8" s="396" t="s">
        <v>21</v>
      </c>
      <c r="R8" s="395"/>
      <c r="S8" s="395"/>
      <c r="T8" s="395"/>
      <c r="U8" s="258">
        <f>SUM(DotTracking!E14:O14,DotTracking!AC14:AM14,DotTracking!BA14:BK14,DotTracking!BY14:CI14,DotTracking!CW14:DG14)</f>
        <v>1</v>
      </c>
      <c r="V8" s="258">
        <f>SUM(DotTracking!E24:O24,DotTracking!AC24:AM24,DotTracking!BA24:BK24,DotTracking!BZ24:CI24,DotTracking!BY24,DotTracking!CW24:DG24)</f>
        <v>0</v>
      </c>
      <c r="W8" s="434">
        <f>LOOKUP(V8,Reference!$D$2:$D$12,Reference!$E$2:$E$12)</f>
        <v>0</v>
      </c>
      <c r="X8" s="435"/>
      <c r="Y8" s="487" t="s">
        <v>70</v>
      </c>
      <c r="Z8" s="360"/>
      <c r="AA8" s="360"/>
      <c r="AB8" s="360"/>
      <c r="AC8" s="360" t="s">
        <v>537</v>
      </c>
      <c r="AD8" s="360"/>
      <c r="AE8" s="360"/>
      <c r="AF8" s="360"/>
      <c r="AG8" s="360"/>
      <c r="AH8" s="360"/>
      <c r="AI8" s="360"/>
      <c r="AJ8" s="360" t="s">
        <v>137</v>
      </c>
      <c r="AK8" s="360"/>
      <c r="AL8" s="360"/>
      <c r="AM8" s="360" t="s">
        <v>33</v>
      </c>
      <c r="AN8" s="360"/>
      <c r="AO8" s="360"/>
      <c r="AP8" s="360"/>
      <c r="AQ8" s="360"/>
      <c r="AR8" s="360"/>
      <c r="AS8" s="360"/>
      <c r="AT8" s="360"/>
      <c r="AU8" s="360"/>
      <c r="AV8" s="488"/>
      <c r="AW8" s="362"/>
      <c r="AX8" s="363"/>
      <c r="AY8" s="363"/>
      <c r="AZ8" s="363"/>
      <c r="BA8" s="356" t="str">
        <f>IF(AW8="Custom1",DB$4,IF(AW8="Custom2",DB$5,IF(AW8="Custom3",DB$6,IF(AW8="Custom4",DB$7,IF(AW8="Custom5",DB$8,IF(AW8="Custom6",DB$9,IF(AW8="Custom7",DB$10,IF(AW8="Custom8",DB$11,IF(AW8="Custom9",DB$12,IF(AW8="Custom10",DB$13,IF(AW8="","",LOOKUP(AW8,ArmoryRef!$A$2:$A$116,ArmoryRef!$B$2:$B$116))))))))))))</f>
        <v/>
      </c>
      <c r="BB8" s="356"/>
      <c r="BC8" s="272">
        <f>IF(AW8="Custom1",DD$4,IF(AW8="Custom2",DD$5,IF(AW8="Custom3",DD$6,IF(AW8="Custom4",DD$7,IF(AW8="Custom5",DD$8,IF(AW8="Custom6",DD$9,IF(AW8="Custom7",DD$10,IF(AW8="Custom8",DD$11,IF(AW8="Custom9",DD$12,IF(AW8="Custom10",DD$13,IF(AW8="","0",LOOKUP(AW8,ArmoryRef!$A$2:$A$116,ArmoryRef!$J$2:$J$116))))))))))))+IF(BO8="","0",BO8)</f>
        <v>0</v>
      </c>
      <c r="BD8" s="272">
        <f>IF(AW8="","0",IF(OR(AW8=$CS$4,AW8=$CS$5,AW8=$CS$6,AW8=$CS$7,AW8=$CS$8,AW8=$CS$9,AW8=$CS$10,AW8=$CS$10,AW8=$CS$11,$CS$12=AW8,AW8=$CS$13),LOOKUP(AW8,$CS$4:$CU$13,$DQ$4:$DQ$13),LOOKUP(AW8,ArmoryRef!$A$2:$A$116,ArmoryRef!$D$2:$D$116)))+IF(BQ8="","0",BQ8)</f>
        <v>0</v>
      </c>
      <c r="BE8" s="272" t="s">
        <v>98</v>
      </c>
      <c r="BF8" s="272" t="str">
        <f t="shared" si="2"/>
        <v/>
      </c>
      <c r="BG8" s="272">
        <f>IF(AW8="","0",IF(OR(AW8=$CS$4,AW8=$CS$5,AW8=$CS$6,AW8=$CS$7,AW8=$CS$8,AW8=$CS$9,AW8=$CS$10,AW8=$CS$10,AW8=$CS$11,$CS$12=AW8,AW8=$CS$13),LOOKUP(AW8,$CS$4:$CU$13,$DR$4:$DR$13),LOOKUP(AW8,ArmoryRef!$A$2:$A$116,ArmoryRef!$F$2:$F$116)))+IF(BS8="","0",BS8)</f>
        <v>0</v>
      </c>
      <c r="BH8" s="272" t="s">
        <v>98</v>
      </c>
      <c r="BI8" s="272" t="str">
        <f t="shared" si="1"/>
        <v/>
      </c>
      <c r="BJ8" s="272" t="str">
        <f>IF(AW8="Custom1",DK$4,IF(AW8="Custom2",DK$5,IF(AW8="Custom3",DK$6,IF(AW8="Custom4",DK$7,IF(AW8="Custom5",DK$8,IF(AW8="Custom6",DK$9,IF(AW8="Custom7",DK$10,IF(AW8="Custom8",DK$11,IF(AW8="Custom9",DK$12,IF(AW8="Custom10",DK$13,IF(AW8="","",LOOKUP(AW8,ArmoryRef!$A$2:$A$116,ArmoryRef!$G$2:$G$116))))))))))))</f>
        <v/>
      </c>
      <c r="BK8" s="272" t="str">
        <f>IF(AW8="","",IF(OR(BA8="Marks",BA8="Thrown",AW8="Clinch"),"--",IF(OR(AW8=$CS$4,AW8=$CS$5,AW8=$CS$6,AW8=$CS$7,AW8=$CS$8,AW8=$CS$9,AW8=$CS$10,AW8=$CS$10,AW8=$CS$11,$CS$12=AW8,AW8=$CS$13),LOOKUP(AW8,$CS$4:$CU$13,$DS$4:$DS$13),LOOKUP(AW8,ArmoryRef!$A$2:$A$116,ArmoryRef!$I$2:$I$116))+IF(AW8="","",IF(BP8="","0",BP8))))</f>
        <v/>
      </c>
      <c r="BL8" s="356" t="str">
        <f>IF(AW8="Custom1",DN$4,IF(AW8="Custom2",DN$5,IF(AW8="Custom3",DN$6,IF(AW8="Custom4",DN$7,IF(AW8="Custom5",DN$8,IF(AW8="Custom6",DN$9,IF(AW8="Custom7",DN$10,IF(AW8="Custom8",DN$11,IF(AW8="Custom9",DN$12,IF(AW8="Custom10",DN$13,IF(AW8="","",LOOKUP(AW8,ArmoryRef!$A$2:$A$116,ArmoryRef!$K$2:$K$116))))))))))))</f>
        <v/>
      </c>
      <c r="BM8" s="356"/>
      <c r="BN8" s="272" t="str">
        <f>IF(AW8="Custom1",DP$4,IF(AW8="Custom2",DP$5,IF(AW8="Custom3",DP$6,IF(AW8="Custom4",DP$7,IF(AW8="Custom5",DP$8,IF(AW8="Custom6",DP$9,IF(AW8="Custom7",DP$10,IF(AW8="Custom8",DP$11,IF(AW8="Custom9",DP$12,IF(AW8="Custom10",DP$13,IF(AW8="","",LOOKUP(AW8,ArmoryRef!$A$2:$A$116,ArmoryRef!$L$2:$L$116))))))))))))</f>
        <v/>
      </c>
      <c r="BO8" s="273"/>
      <c r="BP8" s="273"/>
      <c r="BQ8" s="363"/>
      <c r="BR8" s="363"/>
      <c r="BS8" s="363"/>
      <c r="BT8" s="369"/>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1"/>
      <c r="CS8" s="494" t="s">
        <v>845</v>
      </c>
      <c r="CT8" s="403"/>
      <c r="CU8" s="403"/>
      <c r="CV8" s="359"/>
      <c r="CW8" s="359"/>
      <c r="CX8" s="359"/>
      <c r="CY8" s="359"/>
      <c r="CZ8" s="359"/>
      <c r="DA8" s="359"/>
      <c r="DB8" s="359"/>
      <c r="DC8" s="359"/>
      <c r="DD8" s="232"/>
      <c r="DE8" s="359"/>
      <c r="DF8" s="359"/>
      <c r="DG8" s="359"/>
      <c r="DH8" s="359"/>
      <c r="DI8" s="359"/>
      <c r="DJ8" s="359"/>
      <c r="DK8" s="232"/>
      <c r="DL8" s="359"/>
      <c r="DM8" s="359"/>
      <c r="DN8" s="359"/>
      <c r="DO8" s="359"/>
      <c r="DP8" s="233"/>
      <c r="DQ8" s="28" t="str">
        <f t="shared" si="3"/>
        <v/>
      </c>
      <c r="DR8" s="28" t="str">
        <f t="shared" si="4"/>
        <v/>
      </c>
      <c r="DS8" s="28" t="str">
        <f t="shared" si="5"/>
        <v/>
      </c>
    </row>
    <row r="9" spans="1:123" x14ac:dyDescent="0.25">
      <c r="A9" s="373" t="s">
        <v>69</v>
      </c>
      <c r="B9" s="374"/>
      <c r="C9" s="374"/>
      <c r="D9" s="374"/>
      <c r="E9" s="374"/>
      <c r="F9" s="374"/>
      <c r="G9" s="374"/>
      <c r="H9" s="374"/>
      <c r="I9" s="374"/>
      <c r="J9" s="374"/>
      <c r="K9" s="374"/>
      <c r="L9" s="374"/>
      <c r="M9" s="374"/>
      <c r="N9" s="374"/>
      <c r="O9" s="374"/>
      <c r="P9" s="374"/>
      <c r="Q9" s="374"/>
      <c r="R9" s="374"/>
      <c r="S9" s="374"/>
      <c r="T9" s="374"/>
      <c r="U9" s="374"/>
      <c r="V9" s="374"/>
      <c r="W9" s="374"/>
      <c r="X9" s="426"/>
      <c r="Y9" s="468" t="str">
        <f>AS7</f>
        <v/>
      </c>
      <c r="Z9" s="462"/>
      <c r="AA9" s="462"/>
      <c r="AB9" s="462"/>
      <c r="AC9" s="361"/>
      <c r="AD9" s="361"/>
      <c r="AE9" s="361"/>
      <c r="AF9" s="361"/>
      <c r="AG9" s="361"/>
      <c r="AH9" s="361"/>
      <c r="AI9" s="361"/>
      <c r="AJ9" s="262" t="str">
        <f>IF(AC9="","-",IF(LOOKUP(AC9,BoonRef!A$2:A$430,BoonRef!I$2:I$430)="None","-",LOOKUP(AC9,BoonRef!A$2:A$430,BoonRef!I$2:I$430)))</f>
        <v>-</v>
      </c>
      <c r="AK9" s="262" t="s">
        <v>98</v>
      </c>
      <c r="AL9" s="262" t="str">
        <f>IF(AC9="","-",IF(LOOKUP(AC9,BoonRef!A$2:A$430,BoonRef!M$2:M$430)=0,"-",LOOKUP(AC9,BoonRef!A$2:A$430,BoonRef!M$2:M$430)))</f>
        <v>-</v>
      </c>
      <c r="AM9" s="417" t="str">
        <f>IF(AC9="","-",IF(LOOKUP(AC9,BoonRef!A$2:A$430,BoonRef!N$2:N$430)="None","-",LOOKUP(AC9,BoonRef!A$2:A$430,BoonRef!N$2:N$430)))</f>
        <v>-</v>
      </c>
      <c r="AN9" s="417"/>
      <c r="AO9" s="417"/>
      <c r="AP9" s="417"/>
      <c r="AQ9" s="417"/>
      <c r="AR9" s="417"/>
      <c r="AS9" s="417"/>
      <c r="AT9" s="417"/>
      <c r="AU9" s="417"/>
      <c r="AV9" s="458"/>
      <c r="AW9" s="362"/>
      <c r="AX9" s="363"/>
      <c r="AY9" s="363"/>
      <c r="AZ9" s="363"/>
      <c r="BA9" s="356" t="str">
        <f>IF(AW9="Custom1",DB$4,IF(AW9="Custom2",DB$5,IF(AW9="Custom3",DB$6,IF(AW9="Custom4",DB$7,IF(AW9="Custom5",DB$8,IF(AW9="Custom6",DB$9,IF(AW9="Custom7",DB$10,IF(AW9="Custom8",DB$11,IF(AW9="Custom9",DB$12,IF(AW9="Custom10",DB$13,IF(AW9="","",LOOKUP(AW9,ArmoryRef!$A$2:$A$116,ArmoryRef!$B$2:$B$116))))))))))))</f>
        <v/>
      </c>
      <c r="BB9" s="356"/>
      <c r="BC9" s="272">
        <f>IF(AW9="Custom1",DD$4,IF(AW9="Custom2",DD$5,IF(AW9="Custom3",DD$6,IF(AW9="Custom4",DD$7,IF(AW9="Custom5",DD$8,IF(AW9="Custom6",DD$9,IF(AW9="Custom7",DD$10,IF(AW9="Custom8",DD$11,IF(AW9="Custom9",DD$12,IF(AW9="Custom10",DD$13,IF(AW9="","0",LOOKUP(AW9,ArmoryRef!$A$2:$A$116,ArmoryRef!$J$2:$J$116))))))))))))+IF(BO9="","0",BO9)</f>
        <v>0</v>
      </c>
      <c r="BD9" s="272">
        <f>IF(AW9="","0",IF(OR(AW9=$CS$4,AW9=$CS$5,AW9=$CS$6,AW9=$CS$7,AW9=$CS$8,AW9=$CS$9,AW9=$CS$10,AW9=$CS$10,AW9=$CS$11,$CS$12=AW9,AW9=$CS$13),LOOKUP(AW9,$CS$4:$CU$13,$DQ$4:$DQ$13),LOOKUP(AW9,ArmoryRef!$A$2:$A$116,ArmoryRef!$D$2:$D$116)))+IF(BQ9="","0",BQ9)</f>
        <v>0</v>
      </c>
      <c r="BE9" s="272" t="s">
        <v>98</v>
      </c>
      <c r="BF9" s="272" t="str">
        <f t="shared" si="2"/>
        <v/>
      </c>
      <c r="BG9" s="272">
        <f>IF(AW9="","0",IF(OR(AW9=$CS$4,AW9=$CS$5,AW9=$CS$6,AW9=$CS$7,AW9=$CS$8,AW9=$CS$9,AW9=$CS$10,AW9=$CS$10,AW9=$CS$11,$CS$12=AW9,AW9=$CS$13),LOOKUP(AW9,$CS$4:$CU$13,$DR$4:$DR$13),LOOKUP(AW9,ArmoryRef!$A$2:$A$116,ArmoryRef!$F$2:$F$116)))+IF(BS9="","0",BS9)</f>
        <v>0</v>
      </c>
      <c r="BH9" s="272" t="s">
        <v>98</v>
      </c>
      <c r="BI9" s="272" t="str">
        <f t="shared" si="1"/>
        <v/>
      </c>
      <c r="BJ9" s="272" t="str">
        <f>IF(AW9="Custom1",DK$4,IF(AW9="Custom2",DK$5,IF(AW9="Custom3",DK$6,IF(AW9="Custom4",DK$7,IF(AW9="Custom5",DK$8,IF(AW9="Custom6",DK$9,IF(AW9="Custom7",DK$10,IF(AW9="Custom8",DK$11,IF(AW9="Custom9",DK$12,IF(AW9="Custom10",DK$13,IF(AW9="","",LOOKUP(AW9,ArmoryRef!$A$2:$A$116,ArmoryRef!$G$2:$G$116))))))))))))</f>
        <v/>
      </c>
      <c r="BK9" s="272" t="str">
        <f>IF(AW9="","",IF(OR(BA9="Marks",BA9="Thrown",AW9="Clinch"),"--",IF(OR(AW9=$CS$4,AW9=$CS$5,AW9=$CS$6,AW9=$CS$7,AW9=$CS$8,AW9=$CS$9,AW9=$CS$10,AW9=$CS$10,AW9=$CS$11,$CS$12=AW9,AW9=$CS$13),LOOKUP(AW9,$CS$4:$CU$13,$DS$4:$DS$13),LOOKUP(AW9,ArmoryRef!$A$2:$A$116,ArmoryRef!$I$2:$I$116))+IF(AW9="","",IF(BP9="","0",BP9))))</f>
        <v/>
      </c>
      <c r="BL9" s="356" t="str">
        <f>IF(AW9="Custom1",DN$4,IF(AW9="Custom2",DN$5,IF(AW9="Custom3",DN$6,IF(AW9="Custom4",DN$7,IF(AW9="Custom5",DN$8,IF(AW9="Custom6",DN$9,IF(AW9="Custom7",DN$10,IF(AW9="Custom8",DN$11,IF(AW9="Custom9",DN$12,IF(AW9="Custom10",DN$13,IF(AW9="","",LOOKUP(AW9,ArmoryRef!$A$2:$A$116,ArmoryRef!$K$2:$K$116))))))))))))</f>
        <v/>
      </c>
      <c r="BM9" s="356"/>
      <c r="BN9" s="272" t="str">
        <f>IF(AW9="Custom1",DP$4,IF(AW9="Custom2",DP$5,IF(AW9="Custom3",DP$6,IF(AW9="Custom4",DP$7,IF(AW9="Custom5",DP$8,IF(AW9="Custom6",DP$9,IF(AW9="Custom7",DP$10,IF(AW9="Custom8",DP$11,IF(AW9="Custom9",DP$12,IF(AW9="Custom10",DP$13,IF(AW9="","",LOOKUP(AW9,ArmoryRef!$A$2:$A$116,ArmoryRef!$L$2:$L$116))))))))))))</f>
        <v/>
      </c>
      <c r="BO9" s="273"/>
      <c r="BP9" s="273"/>
      <c r="BQ9" s="363"/>
      <c r="BR9" s="363"/>
      <c r="BS9" s="363"/>
      <c r="BT9" s="369"/>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3"/>
      <c r="CS9" s="494" t="s">
        <v>846</v>
      </c>
      <c r="CT9" s="403"/>
      <c r="CU9" s="403"/>
      <c r="CV9" s="359"/>
      <c r="CW9" s="359"/>
      <c r="CX9" s="359"/>
      <c r="CY9" s="359"/>
      <c r="CZ9" s="359"/>
      <c r="DA9" s="359"/>
      <c r="DB9" s="359"/>
      <c r="DC9" s="359"/>
      <c r="DD9" s="232"/>
      <c r="DE9" s="359"/>
      <c r="DF9" s="359"/>
      <c r="DG9" s="359"/>
      <c r="DH9" s="359"/>
      <c r="DI9" s="359"/>
      <c r="DJ9" s="359"/>
      <c r="DK9" s="232"/>
      <c r="DL9" s="359"/>
      <c r="DM9" s="359"/>
      <c r="DN9" s="359"/>
      <c r="DO9" s="359"/>
      <c r="DP9" s="233"/>
      <c r="DQ9" s="28" t="str">
        <f t="shared" si="3"/>
        <v/>
      </c>
      <c r="DR9" s="28" t="str">
        <f t="shared" si="4"/>
        <v/>
      </c>
      <c r="DS9" s="28" t="str">
        <f t="shared" si="5"/>
        <v/>
      </c>
    </row>
    <row r="10" spans="1:123" ht="15.75" thickBot="1" x14ac:dyDescent="0.3">
      <c r="A10" s="376"/>
      <c r="B10" s="377"/>
      <c r="C10" s="377"/>
      <c r="D10" s="377"/>
      <c r="E10" s="377"/>
      <c r="F10" s="377"/>
      <c r="G10" s="377"/>
      <c r="H10" s="377"/>
      <c r="I10" s="377"/>
      <c r="J10" s="377"/>
      <c r="K10" s="377"/>
      <c r="L10" s="377"/>
      <c r="M10" s="377"/>
      <c r="N10" s="377"/>
      <c r="O10" s="377"/>
      <c r="P10" s="377"/>
      <c r="Q10" s="377"/>
      <c r="R10" s="377"/>
      <c r="S10" s="377"/>
      <c r="T10" s="377"/>
      <c r="U10" s="377"/>
      <c r="V10" s="377"/>
      <c r="W10" s="377"/>
      <c r="X10" s="427"/>
      <c r="Y10" s="358"/>
      <c r="Z10" s="359"/>
      <c r="AA10" s="359"/>
      <c r="AB10" s="359"/>
      <c r="AC10" s="359"/>
      <c r="AD10" s="359"/>
      <c r="AE10" s="359"/>
      <c r="AF10" s="359"/>
      <c r="AG10" s="359"/>
      <c r="AH10" s="359"/>
      <c r="AI10" s="359"/>
      <c r="AJ10" s="261" t="str">
        <f>IF(AC10="","-",IF(LOOKUP(AC10,BoonRef!A$2:A$430,BoonRef!I$2:I$430)="None","-",LOOKUP(AC10,BoonRef!A$2:A$430,BoonRef!I$2:I$430)))</f>
        <v>-</v>
      </c>
      <c r="AK10" s="261" t="s">
        <v>98</v>
      </c>
      <c r="AL10" s="261" t="str">
        <f>IF(AC10="","-",IF(LOOKUP(AC10,BoonRef!A$2:A$430,BoonRef!M$2:M$430)=0,"-",LOOKUP(AC10,BoonRef!A$2:A$430,BoonRef!M$2:M$430)))</f>
        <v>-</v>
      </c>
      <c r="AM10" s="356" t="str">
        <f>IF(AC10="","-",IF(LOOKUP(AC10,BoonRef!A$2:A$430,BoonRef!N$2:N$430)="None","-",LOOKUP(AC10,BoonRef!A$2:A$430,BoonRef!N$2:N$430)))</f>
        <v>-</v>
      </c>
      <c r="AN10" s="356"/>
      <c r="AO10" s="356"/>
      <c r="AP10" s="356"/>
      <c r="AQ10" s="356"/>
      <c r="AR10" s="356"/>
      <c r="AS10" s="356"/>
      <c r="AT10" s="356"/>
      <c r="AU10" s="356"/>
      <c r="AV10" s="357"/>
      <c r="AW10" s="362"/>
      <c r="AX10" s="363"/>
      <c r="AY10" s="363"/>
      <c r="AZ10" s="363"/>
      <c r="BA10" s="356" t="str">
        <f>IF(AW10="Custom1",DB$4,IF(AW10="Custom2",DB$5,IF(AW10="Custom3",DB$6,IF(AW10="Custom4",DB$7,IF(AW10="Custom5",DB$8,IF(AW10="Custom6",DB$9,IF(AW10="Custom7",DB$10,IF(AW10="Custom8",DB$11,IF(AW10="Custom9",DB$12,IF(AW10="Custom10",DB$13,IF(AW10="","",LOOKUP(AW10,ArmoryRef!$A$2:$A$116,ArmoryRef!$B$2:$B$116))))))))))))</f>
        <v/>
      </c>
      <c r="BB10" s="356"/>
      <c r="BC10" s="272">
        <f>IF(AW10="Custom1",DD$4,IF(AW10="Custom2",DD$5,IF(AW10="Custom3",DD$6,IF(AW10="Custom4",DD$7,IF(AW10="Custom5",DD$8,IF(AW10="Custom6",DD$9,IF(AW10="Custom7",DD$10,IF(AW10="Custom8",DD$11,IF(AW10="Custom9",DD$12,IF(AW10="Custom10",DD$13,IF(AW10="","0",LOOKUP(AW10,ArmoryRef!$A$2:$A$116,ArmoryRef!$J$2:$J$116))))))))))))+IF(BO10="","0",BO10)</f>
        <v>0</v>
      </c>
      <c r="BD10" s="272">
        <f>IF(AW10="","0",IF(OR(AW10=$CS$4,AW10=$CS$5,AW10=$CS$6,AW10=$CS$7,AW10=$CS$8,AW10=$CS$9,AW10=$CS$10,AW10=$CS$10,AW10=$CS$11,$CS$12=AW10,AW10=$CS$13),LOOKUP(AW10,$CS$4:$CU$13,$DQ$4:$DQ$13),LOOKUP(AW10,ArmoryRef!$A$2:$A$116,ArmoryRef!$D$2:$D$116)))+IF(BQ10="","0",BQ10)</f>
        <v>0</v>
      </c>
      <c r="BE10" s="272" t="s">
        <v>98</v>
      </c>
      <c r="BF10" s="272" t="str">
        <f t="shared" si="2"/>
        <v/>
      </c>
      <c r="BG10" s="272">
        <f>IF(AW10="","0",IF(OR(AW10=$CS$4,AW10=$CS$5,AW10=$CS$6,AW10=$CS$7,AW10=$CS$8,AW10=$CS$9,AW10=$CS$10,AW10=$CS$10,AW10=$CS$11,$CS$12=AW10,AW10=$CS$13),LOOKUP(AW10,$CS$4:$CU$13,$DR$4:$DR$13),LOOKUP(AW10,ArmoryRef!$A$2:$A$116,ArmoryRef!$F$2:$F$116)))+IF(BS10="","0",BS10)</f>
        <v>0</v>
      </c>
      <c r="BH10" s="272" t="s">
        <v>98</v>
      </c>
      <c r="BI10" s="272" t="str">
        <f t="shared" si="1"/>
        <v/>
      </c>
      <c r="BJ10" s="272" t="str">
        <f>IF(AW10="Custom1",DK$4,IF(AW10="Custom2",DK$5,IF(AW10="Custom3",DK$6,IF(AW10="Custom4",DK$7,IF(AW10="Custom5",DK$8,IF(AW10="Custom6",DK$9,IF(AW10="Custom7",DK$10,IF(AW10="Custom8",DK$11,IF(AW10="Custom9",DK$12,IF(AW10="Custom10",DK$13,IF(AW10="","",LOOKUP(AW10,ArmoryRef!$A$2:$A$116,ArmoryRef!$G$2:$G$116))))))))))))</f>
        <v/>
      </c>
      <c r="BK10" s="272" t="str">
        <f>IF(AW10="","",IF(OR(BA10="Marks",BA10="Thrown",AW10="Clinch"),"--",IF(OR(AW10=$CS$4,AW10=$CS$5,AW10=$CS$6,AW10=$CS$7,AW10=$CS$8,AW10=$CS$9,AW10=$CS$10,AW10=$CS$10,AW10=$CS$11,$CS$12=AW10,AW10=$CS$13),LOOKUP(AW10,$CS$4:$CU$13,$DS$4:$DS$13),LOOKUP(AW10,ArmoryRef!$A$2:$A$116,ArmoryRef!$I$2:$I$116))+IF(AW10="","",IF(BP10="","0",BP10))))</f>
        <v/>
      </c>
      <c r="BL10" s="356" t="str">
        <f>IF(AW10="Custom1",DN$4,IF(AW10="Custom2",DN$5,IF(AW10="Custom3",DN$6,IF(AW10="Custom4",DN$7,IF(AW10="Custom5",DN$8,IF(AW10="Custom6",DN$9,IF(AW10="Custom7",DN$10,IF(AW10="Custom8",DN$11,IF(AW10="Custom9",DN$12,IF(AW10="Custom10",DN$13,IF(AW10="","",LOOKUP(AW10,ArmoryRef!$A$2:$A$116,ArmoryRef!$K$2:$K$116))))))))))))</f>
        <v/>
      </c>
      <c r="BM10" s="356"/>
      <c r="BN10" s="272" t="str">
        <f>IF(AW10="Custom1",DP$4,IF(AW10="Custom2",DP$5,IF(AW10="Custom3",DP$6,IF(AW10="Custom4",DP$7,IF(AW10="Custom5",DP$8,IF(AW10="Custom6",DP$9,IF(AW10="Custom7",DP$10,IF(AW10="Custom8",DP$11,IF(AW10="Custom9",DP$12,IF(AW10="Custom10",DP$13,IF(AW10="","",LOOKUP(AW10,ArmoryRef!$A$2:$A$116,ArmoryRef!$L$2:$L$116))))))))))))</f>
        <v/>
      </c>
      <c r="BO10" s="273"/>
      <c r="BP10" s="273"/>
      <c r="BQ10" s="363"/>
      <c r="BR10" s="363"/>
      <c r="BS10" s="363"/>
      <c r="BT10" s="369"/>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3"/>
      <c r="CS10" s="494" t="s">
        <v>847</v>
      </c>
      <c r="CT10" s="403"/>
      <c r="CU10" s="403"/>
      <c r="CV10" s="359"/>
      <c r="CW10" s="359"/>
      <c r="CX10" s="359"/>
      <c r="CY10" s="359"/>
      <c r="CZ10" s="359"/>
      <c r="DA10" s="359"/>
      <c r="DB10" s="359"/>
      <c r="DC10" s="359"/>
      <c r="DD10" s="232"/>
      <c r="DE10" s="359"/>
      <c r="DF10" s="359"/>
      <c r="DG10" s="359"/>
      <c r="DH10" s="359"/>
      <c r="DI10" s="359"/>
      <c r="DJ10" s="359"/>
      <c r="DK10" s="232"/>
      <c r="DL10" s="359"/>
      <c r="DM10" s="359"/>
      <c r="DN10" s="359"/>
      <c r="DO10" s="359"/>
      <c r="DP10" s="233"/>
      <c r="DQ10" s="28" t="str">
        <f t="shared" si="3"/>
        <v/>
      </c>
      <c r="DR10" s="28" t="str">
        <f t="shared" si="4"/>
        <v/>
      </c>
      <c r="DS10" s="28" t="str">
        <f t="shared" si="5"/>
        <v/>
      </c>
    </row>
    <row r="11" spans="1:123" x14ac:dyDescent="0.25">
      <c r="A11" s="404"/>
      <c r="B11" s="405"/>
      <c r="C11" s="405"/>
      <c r="D11" s="405"/>
      <c r="E11" s="405" t="s">
        <v>76</v>
      </c>
      <c r="F11" s="405"/>
      <c r="G11" s="405" t="s">
        <v>87</v>
      </c>
      <c r="H11" s="467"/>
      <c r="I11" s="404"/>
      <c r="J11" s="405"/>
      <c r="K11" s="405"/>
      <c r="L11" s="405"/>
      <c r="M11" s="405" t="s">
        <v>76</v>
      </c>
      <c r="N11" s="405"/>
      <c r="O11" s="405" t="s">
        <v>87</v>
      </c>
      <c r="P11" s="467"/>
      <c r="Q11" s="404"/>
      <c r="R11" s="405"/>
      <c r="S11" s="405"/>
      <c r="T11" s="405"/>
      <c r="U11" s="405" t="s">
        <v>76</v>
      </c>
      <c r="V11" s="405"/>
      <c r="W11" s="405" t="s">
        <v>87</v>
      </c>
      <c r="X11" s="466"/>
      <c r="Y11" s="358"/>
      <c r="Z11" s="359"/>
      <c r="AA11" s="359"/>
      <c r="AB11" s="359"/>
      <c r="AC11" s="359"/>
      <c r="AD11" s="359"/>
      <c r="AE11" s="359"/>
      <c r="AF11" s="359"/>
      <c r="AG11" s="359"/>
      <c r="AH11" s="359"/>
      <c r="AI11" s="359"/>
      <c r="AJ11" s="261" t="str">
        <f>IF(AC11="","-",IF(LOOKUP(AC11,BoonRef!A$2:A$430,BoonRef!I$2:I$430)="None","-",LOOKUP(AC11,BoonRef!A$2:A$430,BoonRef!I$2:I$430)))</f>
        <v>-</v>
      </c>
      <c r="AK11" s="261" t="s">
        <v>98</v>
      </c>
      <c r="AL11" s="261" t="str">
        <f>IF(AC11="","-",IF(LOOKUP(AC11,BoonRef!A$2:A$430,BoonRef!M$2:M$430)=0,"-",LOOKUP(AC11,BoonRef!A$2:A$430,BoonRef!M$2:M$430)))</f>
        <v>-</v>
      </c>
      <c r="AM11" s="356" t="str">
        <f>IF(AC11="","-",IF(LOOKUP(AC11,BoonRef!A$2:A$430,BoonRef!N$2:N$430)="None","-",LOOKUP(AC11,BoonRef!A$2:A$430,BoonRef!N$2:N$430)))</f>
        <v>-</v>
      </c>
      <c r="AN11" s="356"/>
      <c r="AO11" s="356"/>
      <c r="AP11" s="356"/>
      <c r="AQ11" s="356"/>
      <c r="AR11" s="356"/>
      <c r="AS11" s="356"/>
      <c r="AT11" s="356"/>
      <c r="AU11" s="356"/>
      <c r="AV11" s="357"/>
      <c r="AW11" s="362"/>
      <c r="AX11" s="363"/>
      <c r="AY11" s="363"/>
      <c r="AZ11" s="363"/>
      <c r="BA11" s="356" t="str">
        <f>IF(AW11="Custom1",DB$4,IF(AW11="Custom2",DB$5,IF(AW11="Custom3",DB$6,IF(AW11="Custom4",DB$7,IF(AW11="Custom5",DB$8,IF(AW11="Custom6",DB$9,IF(AW11="Custom7",DB$10,IF(AW11="Custom8",DB$11,IF(AW11="Custom9",DB$12,IF(AW11="Custom10",DB$13,IF(AW11="","",LOOKUP(AW11,ArmoryRef!$A$2:$A$116,ArmoryRef!$B$2:$B$116))))))))))))</f>
        <v/>
      </c>
      <c r="BB11" s="356"/>
      <c r="BC11" s="272">
        <f>IF(AW11="Custom1",DD$4,IF(AW11="Custom2",DD$5,IF(AW11="Custom3",DD$6,IF(AW11="Custom4",DD$7,IF(AW11="Custom5",DD$8,IF(AW11="Custom6",DD$9,IF(AW11="Custom7",DD$10,IF(AW11="Custom8",DD$11,IF(AW11="Custom9",DD$12,IF(AW11="Custom10",DD$13,IF(AW11="","0",LOOKUP(AW11,ArmoryRef!$A$2:$A$116,ArmoryRef!$J$2:$J$116))))))))))))+IF(BO11="","0",BO11)</f>
        <v>0</v>
      </c>
      <c r="BD11" s="272">
        <f>IF(AW11="","0",IF(OR(AW11=$CS$4,AW11=$CS$5,AW11=$CS$6,AW11=$CS$7,AW11=$CS$8,AW11=$CS$9,AW11=$CS$10,AW11=$CS$10,AW11=$CS$11,$CS$12=AW11,AW11=$CS$13),LOOKUP(AW11,$CS$4:$CU$13,$DQ$4:$DQ$13),LOOKUP(AW11,ArmoryRef!$A$2:$A$116,ArmoryRef!$D$2:$D$116)))+IF(BQ11="","0",BQ11)</f>
        <v>0</v>
      </c>
      <c r="BE11" s="272" t="s">
        <v>98</v>
      </c>
      <c r="BF11" s="272" t="str">
        <f t="shared" si="2"/>
        <v/>
      </c>
      <c r="BG11" s="272">
        <f>IF(AW11="","0",IF(OR(AW11=$CS$4,AW11=$CS$5,AW11=$CS$6,AW11=$CS$7,AW11=$CS$8,AW11=$CS$9,AW11=$CS$10,AW11=$CS$10,AW11=$CS$11,$CS$12=AW11,AW11=$CS$13),LOOKUP(AW11,$CS$4:$CU$13,$DR$4:$DR$13),LOOKUP(AW11,ArmoryRef!$A$2:$A$116,ArmoryRef!$F$2:$F$116)))+IF(BS11="","0",BS11)</f>
        <v>0</v>
      </c>
      <c r="BH11" s="272" t="s">
        <v>98</v>
      </c>
      <c r="BI11" s="272" t="str">
        <f t="shared" si="1"/>
        <v/>
      </c>
      <c r="BJ11" s="272" t="str">
        <f>IF(AW11="Custom1",DK$4,IF(AW11="Custom2",DK$5,IF(AW11="Custom3",DK$6,IF(AW11="Custom4",DK$7,IF(AW11="Custom5",DK$8,IF(AW11="Custom6",DK$9,IF(AW11="Custom7",DK$10,IF(AW11="Custom8",DK$11,IF(AW11="Custom9",DK$12,IF(AW11="Custom10",DK$13,IF(AW11="","",LOOKUP(AW11,ArmoryRef!$A$2:$A$116,ArmoryRef!$G$2:$G$116))))))))))))</f>
        <v/>
      </c>
      <c r="BK11" s="272" t="str">
        <f>IF(AW11="","",IF(OR(BA11="Marks",BA11="Thrown",AW11="Clinch"),"--",IF(OR(AW11=$CS$4,AW11=$CS$5,AW11=$CS$6,AW11=$CS$7,AW11=$CS$8,AW11=$CS$9,AW11=$CS$10,AW11=$CS$10,AW11=$CS$11,$CS$12=AW11,AW11=$CS$13),LOOKUP(AW11,$CS$4:$CU$13,$DS$4:$DS$13),LOOKUP(AW11,ArmoryRef!$A$2:$A$116,ArmoryRef!$I$2:$I$116))+IF(AW11="","",IF(BP11="","0",BP11))))</f>
        <v/>
      </c>
      <c r="BL11" s="356" t="str">
        <f>IF(AW11="Custom1",DN$4,IF(AW11="Custom2",DN$5,IF(AW11="Custom3",DN$6,IF(AW11="Custom4",DN$7,IF(AW11="Custom5",DN$8,IF(AW11="Custom6",DN$9,IF(AW11="Custom7",DN$10,IF(AW11="Custom8",DN$11,IF(AW11="Custom9",DN$12,IF(AW11="Custom10",DN$13,IF(AW11="","",LOOKUP(AW11,ArmoryRef!$A$2:$A$116,ArmoryRef!$K$2:$K$116))))))))))))</f>
        <v/>
      </c>
      <c r="BM11" s="356"/>
      <c r="BN11" s="272" t="str">
        <f>IF(AW11="Custom1",DP$4,IF(AW11="Custom2",DP$5,IF(AW11="Custom3",DP$6,IF(AW11="Custom4",DP$7,IF(AW11="Custom5",DP$8,IF(AW11="Custom6",DP$9,IF(AW11="Custom7",DP$10,IF(AW11="Custom8",DP$11,IF(AW11="Custom9",DP$12,IF(AW11="Custom10",DP$13,IF(AW11="","",LOOKUP(AW11,ArmoryRef!$A$2:$A$116,ArmoryRef!$L$2:$L$116))))))))))))</f>
        <v/>
      </c>
      <c r="BO11" s="273"/>
      <c r="BP11" s="273"/>
      <c r="BQ11" s="363"/>
      <c r="BR11" s="363"/>
      <c r="BS11" s="363"/>
      <c r="BT11" s="369"/>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3"/>
      <c r="CS11" s="494" t="s">
        <v>848</v>
      </c>
      <c r="CT11" s="403"/>
      <c r="CU11" s="403"/>
      <c r="CV11" s="359"/>
      <c r="CW11" s="359"/>
      <c r="CX11" s="359"/>
      <c r="CY11" s="359"/>
      <c r="CZ11" s="359"/>
      <c r="DA11" s="359"/>
      <c r="DB11" s="359"/>
      <c r="DC11" s="359"/>
      <c r="DD11" s="232"/>
      <c r="DE11" s="359"/>
      <c r="DF11" s="359"/>
      <c r="DG11" s="359"/>
      <c r="DH11" s="359"/>
      <c r="DI11" s="359"/>
      <c r="DJ11" s="359"/>
      <c r="DK11" s="232"/>
      <c r="DL11" s="359"/>
      <c r="DM11" s="359"/>
      <c r="DN11" s="359"/>
      <c r="DO11" s="359"/>
      <c r="DP11" s="233"/>
      <c r="DQ11" s="28" t="str">
        <f t="shared" si="3"/>
        <v/>
      </c>
      <c r="DR11" s="28" t="str">
        <f t="shared" si="4"/>
        <v/>
      </c>
      <c r="DS11" s="28" t="str">
        <f t="shared" si="5"/>
        <v/>
      </c>
    </row>
    <row r="12" spans="1:123" x14ac:dyDescent="0.25">
      <c r="A12" s="406" t="s">
        <v>35</v>
      </c>
      <c r="B12" s="407"/>
      <c r="C12" s="407"/>
      <c r="D12" s="407"/>
      <c r="E12" s="403">
        <f>SUM(DotTracking!T9:X9,DotTracking!AR9:AV9,DotTracking!BP9:BT9,DotTracking!CN9:CR9,DotTracking!DL9:DP9,DotTracking!ES7:EW7,DotTracking!FB7:FF7,DotTracking!FK7:FO7,DotTracking!FT7:FX7,DotTracking!GC7:GG7)</f>
        <v>0</v>
      </c>
      <c r="F12" s="403"/>
      <c r="G12" s="359"/>
      <c r="H12" s="410"/>
      <c r="I12" s="406" t="s">
        <v>45</v>
      </c>
      <c r="J12" s="407"/>
      <c r="K12" s="407"/>
      <c r="L12" s="407"/>
      <c r="M12" s="403">
        <f>SUM(DotTracking!T19:X19,DotTracking!AR19:AV19,DotTracking!BP19:BT19,DotTracking!CN19:CR19,DotTracking!DL19:DP19,DotTracking!ES17:EW17,DotTracking!FB17:FF17,DotTracking!FK17:FO17,DotTracking!FT17:FX17,DotTracking!GC17:GG17)</f>
        <v>0</v>
      </c>
      <c r="N12" s="403"/>
      <c r="O12" s="359"/>
      <c r="P12" s="410"/>
      <c r="Q12" s="411" t="s">
        <v>536</v>
      </c>
      <c r="R12" s="412"/>
      <c r="S12" s="412"/>
      <c r="T12" s="412"/>
      <c r="U12" s="403">
        <f>SUM(DotTracking!T29:X29,DotTracking!AR29:AV29,DotTracking!BP29:BT29,DotTracking!CN29:CR29,DotTracking!DL29:DP29,DotTracking!ES27:EW27,DotTracking!FB27:FF27,DotTracking!FK27:FO27,DotTracking!FT27:FX27,DotTracking!GC27:GG27)</f>
        <v>0</v>
      </c>
      <c r="V12" s="403"/>
      <c r="W12" s="359"/>
      <c r="X12" s="413"/>
      <c r="Y12" s="358"/>
      <c r="Z12" s="359"/>
      <c r="AA12" s="359"/>
      <c r="AB12" s="359"/>
      <c r="AC12" s="359"/>
      <c r="AD12" s="359"/>
      <c r="AE12" s="359"/>
      <c r="AF12" s="359"/>
      <c r="AG12" s="359"/>
      <c r="AH12" s="359"/>
      <c r="AI12" s="359"/>
      <c r="AJ12" s="261" t="str">
        <f>IF(AC12="","-",IF(LOOKUP(AC12,BoonRef!A$2:A$430,BoonRef!I$2:I$430)="None","-",LOOKUP(AC12,BoonRef!A$2:A$430,BoonRef!I$2:I$430)))</f>
        <v>-</v>
      </c>
      <c r="AK12" s="261" t="s">
        <v>98</v>
      </c>
      <c r="AL12" s="261" t="str">
        <f>IF(AC12="","-",IF(LOOKUP(AC12,BoonRef!A$2:A$430,BoonRef!M$2:M$430)=0,"-",LOOKUP(AC12,BoonRef!A$2:A$430,BoonRef!M$2:M$430)))</f>
        <v>-</v>
      </c>
      <c r="AM12" s="356" t="str">
        <f>IF(AC12="","-",IF(LOOKUP(AC12,BoonRef!A$2:A$430,BoonRef!N$2:N$430)="None","-",LOOKUP(AC12,BoonRef!A$2:A$430,BoonRef!N$2:N$430)))</f>
        <v>-</v>
      </c>
      <c r="AN12" s="356"/>
      <c r="AO12" s="356"/>
      <c r="AP12" s="356"/>
      <c r="AQ12" s="356"/>
      <c r="AR12" s="356"/>
      <c r="AS12" s="356"/>
      <c r="AT12" s="356"/>
      <c r="AU12" s="356"/>
      <c r="AV12" s="357"/>
      <c r="AW12" s="362"/>
      <c r="AX12" s="363"/>
      <c r="AY12" s="363"/>
      <c r="AZ12" s="363"/>
      <c r="BA12" s="356" t="str">
        <f>IF(AW12="Custom1",DB$4,IF(AW12="Custom2",DB$5,IF(AW12="Custom3",DB$6,IF(AW12="Custom4",DB$7,IF(AW12="Custom5",DB$8,IF(AW12="Custom6",DB$9,IF(AW12="Custom7",DB$10,IF(AW12="Custom8",DB$11,IF(AW12="Custom9",DB$12,IF(AW12="Custom10",DB$13,IF(AW12="","",LOOKUP(AW12,ArmoryRef!$A$2:$A$116,ArmoryRef!$B$2:$B$116))))))))))))</f>
        <v/>
      </c>
      <c r="BB12" s="356"/>
      <c r="BC12" s="272">
        <f>IF(AW12="Custom1",DD$4,IF(AW12="Custom2",DD$5,IF(AW12="Custom3",DD$6,IF(AW12="Custom4",DD$7,IF(AW12="Custom5",DD$8,IF(AW12="Custom6",DD$9,IF(AW12="Custom7",DD$10,IF(AW12="Custom8",DD$11,IF(AW12="Custom9",DD$12,IF(AW12="Custom10",DD$13,IF(AW12="","0",LOOKUP(AW12,ArmoryRef!$A$2:$A$116,ArmoryRef!$J$2:$J$116))))))))))))+IF(BO12="","0",BO12)</f>
        <v>0</v>
      </c>
      <c r="BD12" s="272">
        <f>IF(AW12="","0",IF(OR(AW12=$CS$4,AW12=$CS$5,AW12=$CS$6,AW12=$CS$7,AW12=$CS$8,AW12=$CS$9,AW12=$CS$10,AW12=$CS$10,AW12=$CS$11,$CS$12=AW12,AW12=$CS$13),LOOKUP(AW12,$CS$4:$CU$13,$DQ$4:$DQ$13),LOOKUP(AW12,ArmoryRef!$A$2:$A$116,ArmoryRef!$D$2:$D$116)))+IF(BQ12="","0",BQ12)</f>
        <v>0</v>
      </c>
      <c r="BE12" s="272" t="s">
        <v>98</v>
      </c>
      <c r="BF12" s="272" t="str">
        <f t="shared" si="2"/>
        <v/>
      </c>
      <c r="BG12" s="272">
        <f>IF(AW12="","0",IF(OR(AW12=$CS$4,AW12=$CS$5,AW12=$CS$6,AW12=$CS$7,AW12=$CS$8,AW12=$CS$9,AW12=$CS$10,AW12=$CS$10,AW12=$CS$11,$CS$12=AW12,AW12=$CS$13),LOOKUP(AW12,$CS$4:$CU$13,$DR$4:$DR$13),LOOKUP(AW12,ArmoryRef!$A$2:$A$116,ArmoryRef!$F$2:$F$116)))+IF(BS12="","0",BS12)</f>
        <v>0</v>
      </c>
      <c r="BH12" s="272" t="s">
        <v>98</v>
      </c>
      <c r="BI12" s="272" t="str">
        <f t="shared" si="1"/>
        <v/>
      </c>
      <c r="BJ12" s="272" t="str">
        <f>IF(AW12="Custom1",DK$4,IF(AW12="Custom2",DK$5,IF(AW12="Custom3",DK$6,IF(AW12="Custom4",DK$7,IF(AW12="Custom5",DK$8,IF(AW12="Custom6",DK$9,IF(AW12="Custom7",DK$10,IF(AW12="Custom8",DK$11,IF(AW12="Custom9",DK$12,IF(AW12="Custom10",DK$13,IF(AW12="","",LOOKUP(AW12,ArmoryRef!$A$2:$A$116,ArmoryRef!$G$2:$G$116))))))))))))</f>
        <v/>
      </c>
      <c r="BK12" s="272" t="str">
        <f>IF(AW12="","",IF(OR(BA12="Marks",BA12="Thrown",AW12="Clinch"),"--",IF(OR(AW12=$CS$4,AW12=$CS$5,AW12=$CS$6,AW12=$CS$7,AW12=$CS$8,AW12=$CS$9,AW12=$CS$10,AW12=$CS$10,AW12=$CS$11,$CS$12=AW12,AW12=$CS$13),LOOKUP(AW12,$CS$4:$CU$13,$DS$4:$DS$13),LOOKUP(AW12,ArmoryRef!$A$2:$A$116,ArmoryRef!$I$2:$I$116))+IF(AW12="","",IF(BP12="","0",BP12))))</f>
        <v/>
      </c>
      <c r="BL12" s="356" t="str">
        <f>IF(AW12="Custom1",DN$4,IF(AW12="Custom2",DN$5,IF(AW12="Custom3",DN$6,IF(AW12="Custom4",DN$7,IF(AW12="Custom5",DN$8,IF(AW12="Custom6",DN$9,IF(AW12="Custom7",DN$10,IF(AW12="Custom8",DN$11,IF(AW12="Custom9",DN$12,IF(AW12="Custom10",DN$13,IF(AW12="","",LOOKUP(AW12,ArmoryRef!$A$2:$A$116,ArmoryRef!$K$2:$K$116))))))))))))</f>
        <v/>
      </c>
      <c r="BM12" s="356"/>
      <c r="BN12" s="272" t="str">
        <f>IF(AW12="Custom1",DP$4,IF(AW12="Custom2",DP$5,IF(AW12="Custom3",DP$6,IF(AW12="Custom4",DP$7,IF(AW12="Custom5",DP$8,IF(AW12="Custom6",DP$9,IF(AW12="Custom7",DP$10,IF(AW12="Custom8",DP$11,IF(AW12="Custom9",DP$12,IF(AW12="Custom10",DP$13,IF(AW12="","",LOOKUP(AW12,ArmoryRef!$A$2:$A$116,ArmoryRef!$L$2:$L$116))))))))))))</f>
        <v/>
      </c>
      <c r="BO12" s="273"/>
      <c r="BP12" s="273"/>
      <c r="BQ12" s="363"/>
      <c r="BR12" s="363"/>
      <c r="BS12" s="363"/>
      <c r="BT12" s="369"/>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3"/>
      <c r="CS12" s="494" t="s">
        <v>849</v>
      </c>
      <c r="CT12" s="403"/>
      <c r="CU12" s="403"/>
      <c r="CV12" s="359"/>
      <c r="CW12" s="359"/>
      <c r="CX12" s="359"/>
      <c r="CY12" s="359"/>
      <c r="CZ12" s="359"/>
      <c r="DA12" s="359"/>
      <c r="DB12" s="359"/>
      <c r="DC12" s="359"/>
      <c r="DD12" s="232"/>
      <c r="DE12" s="359"/>
      <c r="DF12" s="359"/>
      <c r="DG12" s="359"/>
      <c r="DH12" s="359"/>
      <c r="DI12" s="359"/>
      <c r="DJ12" s="359"/>
      <c r="DK12" s="232"/>
      <c r="DL12" s="359"/>
      <c r="DM12" s="359"/>
      <c r="DN12" s="359"/>
      <c r="DO12" s="359"/>
      <c r="DP12" s="233"/>
      <c r="DQ12" s="28" t="str">
        <f t="shared" si="3"/>
        <v/>
      </c>
      <c r="DR12" s="28" t="str">
        <f t="shared" si="4"/>
        <v/>
      </c>
      <c r="DS12" s="28" t="str">
        <f t="shared" si="5"/>
        <v/>
      </c>
    </row>
    <row r="13" spans="1:123" ht="15.75" thickBot="1" x14ac:dyDescent="0.3">
      <c r="A13" s="406" t="s">
        <v>36</v>
      </c>
      <c r="B13" s="407"/>
      <c r="C13" s="407"/>
      <c r="D13" s="407"/>
      <c r="E13" s="403">
        <f>SUM(DotTracking!T10:X10,DotTracking!AR10:AV10,DotTracking!BP10:BT10,DotTracking!CN10:CR10,DotTracking!DL10:DP10,DotTracking!ES8:EW8,DotTracking!FB8:FF8,DotTracking!FK8:FO8,DotTracking!FT8:FX8,DotTracking!GC8:GG8)</f>
        <v>0</v>
      </c>
      <c r="F13" s="403"/>
      <c r="G13" s="359"/>
      <c r="H13" s="410"/>
      <c r="I13" s="406" t="s">
        <v>46</v>
      </c>
      <c r="J13" s="407"/>
      <c r="K13" s="407"/>
      <c r="L13" s="407"/>
      <c r="M13" s="403">
        <f>SUM(DotTracking!T20:X20,DotTracking!AR20:AV20,DotTracking!BP20:BT20,DotTracking!CN20:CR20,DotTracking!DL20:DP20,DotTracking!ES18:EW18,DotTracking!FB18:FF18,DotTracking!FK18:FO18,DotTracking!FT18:FX18,DotTracking!GC18:GG18)</f>
        <v>0</v>
      </c>
      <c r="N13" s="403"/>
      <c r="O13" s="359"/>
      <c r="P13" s="410"/>
      <c r="Q13" s="411" t="s">
        <v>536</v>
      </c>
      <c r="R13" s="412"/>
      <c r="S13" s="412"/>
      <c r="T13" s="412"/>
      <c r="U13" s="403">
        <f>SUM(DotTracking!T30:X30,DotTracking!AR30:AV30,DotTracking!BP30:BT30,DotTracking!CN30:CR30,DotTracking!DL30:DP30,DotTracking!ES28:EW28,DotTracking!FB28:FF28,DotTracking!FK28:FO28,DotTracking!FT28:FX28,DotTracking!GC28:GG28)</f>
        <v>0</v>
      </c>
      <c r="V13" s="403"/>
      <c r="W13" s="359"/>
      <c r="X13" s="413"/>
      <c r="Y13" s="358"/>
      <c r="Z13" s="359"/>
      <c r="AA13" s="359"/>
      <c r="AB13" s="359"/>
      <c r="AC13" s="359"/>
      <c r="AD13" s="359"/>
      <c r="AE13" s="359"/>
      <c r="AF13" s="359"/>
      <c r="AG13" s="359"/>
      <c r="AH13" s="359"/>
      <c r="AI13" s="359"/>
      <c r="AJ13" s="261" t="str">
        <f>IF(AC13="","-",IF(LOOKUP(AC13,BoonRef!A$2:A$430,BoonRef!I$2:I$430)="None","-",LOOKUP(AC13,BoonRef!A$2:A$430,BoonRef!I$2:I$430)))</f>
        <v>-</v>
      </c>
      <c r="AK13" s="261" t="s">
        <v>98</v>
      </c>
      <c r="AL13" s="261" t="str">
        <f>IF(AC13="","-",IF(LOOKUP(AC13,BoonRef!A$2:A$430,BoonRef!M$2:M$430)=0,"-",LOOKUP(AC13,BoonRef!A$2:A$430,BoonRef!M$2:M$430)))</f>
        <v>-</v>
      </c>
      <c r="AM13" s="356" t="str">
        <f>IF(AC13="","-",IF(LOOKUP(AC13,BoonRef!A$2:A$430,BoonRef!N$2:N$430)="None","-",LOOKUP(AC13,BoonRef!A$2:A$430,BoonRef!N$2:N$430)))</f>
        <v>-</v>
      </c>
      <c r="AN13" s="356"/>
      <c r="AO13" s="356"/>
      <c r="AP13" s="356"/>
      <c r="AQ13" s="356"/>
      <c r="AR13" s="356"/>
      <c r="AS13" s="356"/>
      <c r="AT13" s="356"/>
      <c r="AU13" s="356"/>
      <c r="AV13" s="357"/>
      <c r="AW13" s="362"/>
      <c r="AX13" s="363"/>
      <c r="AY13" s="363"/>
      <c r="AZ13" s="363"/>
      <c r="BA13" s="356" t="str">
        <f>IF(AW13="Custom1",DB$4,IF(AW13="Custom2",DB$5,IF(AW13="Custom3",DB$6,IF(AW13="Custom4",DB$7,IF(AW13="Custom5",DB$8,IF(AW13="Custom6",DB$9,IF(AW13="Custom7",DB$10,IF(AW13="Custom8",DB$11,IF(AW13="Custom9",DB$12,IF(AW13="Custom10",DB$13,IF(AW13="","",LOOKUP(AW13,ArmoryRef!$A$2:$A$116,ArmoryRef!$B$2:$B$116))))))))))))</f>
        <v/>
      </c>
      <c r="BB13" s="356"/>
      <c r="BC13" s="272">
        <f>IF(AW13="Custom1",DD$4,IF(AW13="Custom2",DD$5,IF(AW13="Custom3",DD$6,IF(AW13="Custom4",DD$7,IF(AW13="Custom5",DD$8,IF(AW13="Custom6",DD$9,IF(AW13="Custom7",DD$10,IF(AW13="Custom8",DD$11,IF(AW13="Custom9",DD$12,IF(AW13="Custom10",DD$13,IF(AW13="","0",LOOKUP(AW13,ArmoryRef!$A$2:$A$116,ArmoryRef!$J$2:$J$116))))))))))))+IF(BO13="","0",BO13)</f>
        <v>0</v>
      </c>
      <c r="BD13" s="272">
        <f>IF(AW13="","0",IF(OR(AW13=$CS$4,AW13=$CS$5,AW13=$CS$6,AW13=$CS$7,AW13=$CS$8,AW13=$CS$9,AW13=$CS$10,AW13=$CS$10,AW13=$CS$11,$CS$12=AW13,AW13=$CS$13),LOOKUP(AW13,$CS$4:$CU$13,$DQ$4:$DQ$13),LOOKUP(AW13,ArmoryRef!$A$2:$A$116,ArmoryRef!$D$2:$D$116)))+IF(BQ13="","0",BQ13)</f>
        <v>0</v>
      </c>
      <c r="BE13" s="272" t="s">
        <v>98</v>
      </c>
      <c r="BF13" s="272" t="str">
        <f t="shared" si="2"/>
        <v/>
      </c>
      <c r="BG13" s="272">
        <f>IF(AW13="","0",IF(OR(AW13=$CS$4,AW13=$CS$5,AW13=$CS$6,AW13=$CS$7,AW13=$CS$8,AW13=$CS$9,AW13=$CS$10,AW13=$CS$10,AW13=$CS$11,$CS$12=AW13,AW13=$CS$13),LOOKUP(AW13,$CS$4:$CU$13,$DR$4:$DR$13),LOOKUP(AW13,ArmoryRef!$A$2:$A$116,ArmoryRef!$F$2:$F$116)))+IF(BS13="","0",BS13)</f>
        <v>0</v>
      </c>
      <c r="BH13" s="272" t="s">
        <v>98</v>
      </c>
      <c r="BI13" s="272" t="str">
        <f t="shared" si="1"/>
        <v/>
      </c>
      <c r="BJ13" s="272" t="str">
        <f>IF(AW13="Custom1",DK$4,IF(AW13="Custom2",DK$5,IF(AW13="Custom3",DK$6,IF(AW13="Custom4",DK$7,IF(AW13="Custom5",DK$8,IF(AW13="Custom6",DK$9,IF(AW13="Custom7",DK$10,IF(AW13="Custom8",DK$11,IF(AW13="Custom9",DK$12,IF(AW13="Custom10",DK$13,IF(AW13="","",LOOKUP(AW13,ArmoryRef!$A$2:$A$116,ArmoryRef!$G$2:$G$116))))))))))))</f>
        <v/>
      </c>
      <c r="BK13" s="272" t="str">
        <f>IF(AW13="","",IF(OR(BA13="Marks",BA13="Thrown",AW13="Clinch"),"--",IF(OR(AW13=$CS$4,AW13=$CS$5,AW13=$CS$6,AW13=$CS$7,AW13=$CS$8,AW13=$CS$9,AW13=$CS$10,AW13=$CS$10,AW13=$CS$11,$CS$12=AW13,AW13=$CS$13),LOOKUP(AW13,$CS$4:$CU$13,$DS$4:$DS$13),LOOKUP(AW13,ArmoryRef!$A$2:$A$116,ArmoryRef!$I$2:$I$116))+IF(AW13="","",IF(BP13="","0",BP13))))</f>
        <v/>
      </c>
      <c r="BL13" s="356" t="str">
        <f>IF(AW13="Custom1",DN$4,IF(AW13="Custom2",DN$5,IF(AW13="Custom3",DN$6,IF(AW13="Custom4",DN$7,IF(AW13="Custom5",DN$8,IF(AW13="Custom6",DN$9,IF(AW13="Custom7",DN$10,IF(AW13="Custom8",DN$11,IF(AW13="Custom9",DN$12,IF(AW13="Custom10",DN$13,IF(AW13="","",LOOKUP(AW13,ArmoryRef!$A$2:$A$116,ArmoryRef!$K$2:$K$116))))))))))))</f>
        <v/>
      </c>
      <c r="BM13" s="356"/>
      <c r="BN13" s="272" t="str">
        <f>IF(AW13="Custom1",DP$4,IF(AW13="Custom2",DP$5,IF(AW13="Custom3",DP$6,IF(AW13="Custom4",DP$7,IF(AW13="Custom5",DP$8,IF(AW13="Custom6",DP$9,IF(AW13="Custom7",DP$10,IF(AW13="Custom8",DP$11,IF(AW13="Custom9",DP$12,IF(AW13="Custom10",DP$13,IF(AW13="","",LOOKUP(AW13,ArmoryRef!$A$2:$A$116,ArmoryRef!$L$2:$L$116))))))))))))</f>
        <v/>
      </c>
      <c r="BO13" s="273"/>
      <c r="BP13" s="273"/>
      <c r="BQ13" s="363"/>
      <c r="BR13" s="363"/>
      <c r="BS13" s="363"/>
      <c r="BT13" s="369"/>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3"/>
      <c r="CS13" s="496" t="s">
        <v>850</v>
      </c>
      <c r="CT13" s="497"/>
      <c r="CU13" s="497"/>
      <c r="CV13" s="498"/>
      <c r="CW13" s="498"/>
      <c r="CX13" s="498"/>
      <c r="CY13" s="498"/>
      <c r="CZ13" s="498"/>
      <c r="DA13" s="498"/>
      <c r="DB13" s="498"/>
      <c r="DC13" s="498"/>
      <c r="DD13" s="282"/>
      <c r="DE13" s="498"/>
      <c r="DF13" s="498"/>
      <c r="DG13" s="498"/>
      <c r="DH13" s="498"/>
      <c r="DI13" s="498"/>
      <c r="DJ13" s="498"/>
      <c r="DK13" s="282"/>
      <c r="DL13" s="498"/>
      <c r="DM13" s="498"/>
      <c r="DN13" s="498"/>
      <c r="DO13" s="498"/>
      <c r="DP13" s="283"/>
      <c r="DQ13" s="28" t="str">
        <f t="shared" si="3"/>
        <v/>
      </c>
      <c r="DR13" s="28" t="str">
        <f t="shared" si="4"/>
        <v/>
      </c>
      <c r="DS13" s="28" t="str">
        <f t="shared" si="5"/>
        <v/>
      </c>
    </row>
    <row r="14" spans="1:123" ht="15.75" thickBot="1" x14ac:dyDescent="0.3">
      <c r="A14" s="406" t="s">
        <v>37</v>
      </c>
      <c r="B14" s="407"/>
      <c r="C14" s="407"/>
      <c r="D14" s="407"/>
      <c r="E14" s="403">
        <f>SUM(DotTracking!T11:X11,DotTracking!AR11:AV11,DotTracking!BP11:BT11,DotTracking!CN11:CR11,DotTracking!DL11:DP11,DotTracking!ES9:EW9,DotTracking!FB9:FF9,DotTracking!FK9:FO9,DotTracking!FT9:FX9,DotTracking!GC9:GG9)</f>
        <v>0</v>
      </c>
      <c r="F14" s="403"/>
      <c r="G14" s="359"/>
      <c r="H14" s="410"/>
      <c r="I14" s="406" t="s">
        <v>47</v>
      </c>
      <c r="J14" s="407"/>
      <c r="K14" s="407"/>
      <c r="L14" s="407"/>
      <c r="M14" s="403">
        <f>SUM(DotTracking!T21:X21,DotTracking!AR21:AV21,DotTracking!BP21:BT21,DotTracking!CN21:CR21,DotTracking!DL21:DP21,DotTracking!ES19:EW19,DotTracking!FB19:FF19,DotTracking!FK19:FO19,DotTracking!FT19:FX19,DotTracking!GC19:GG19)</f>
        <v>0</v>
      </c>
      <c r="N14" s="403"/>
      <c r="O14" s="359"/>
      <c r="P14" s="410"/>
      <c r="Q14" s="411" t="s">
        <v>536</v>
      </c>
      <c r="R14" s="412"/>
      <c r="S14" s="412"/>
      <c r="T14" s="412"/>
      <c r="U14" s="403">
        <f>SUM(DotTracking!T31:X31,DotTracking!AR31:AV31,DotTracking!BP31:BT31,DotTracking!CN31:CR31,DotTracking!DL31:DP31,DotTracking!ES29:EW29,DotTracking!FB29:FF29,DotTracking!FK29:FO29,DotTracking!FT29:FX29,DotTracking!GC29:GG29)</f>
        <v>0</v>
      </c>
      <c r="V14" s="403"/>
      <c r="W14" s="359"/>
      <c r="X14" s="413"/>
      <c r="Y14" s="358"/>
      <c r="Z14" s="359"/>
      <c r="AA14" s="359"/>
      <c r="AB14" s="359"/>
      <c r="AC14" s="359"/>
      <c r="AD14" s="359"/>
      <c r="AE14" s="359"/>
      <c r="AF14" s="359"/>
      <c r="AG14" s="359"/>
      <c r="AH14" s="359"/>
      <c r="AI14" s="359"/>
      <c r="AJ14" s="261" t="str">
        <f>IF(AC14="","-",IF(LOOKUP(AC14,BoonRef!A$2:A$430,BoonRef!I$2:I$430)="None","-",LOOKUP(AC14,BoonRef!A$2:A$430,BoonRef!I$2:I$430)))</f>
        <v>-</v>
      </c>
      <c r="AK14" s="261" t="s">
        <v>98</v>
      </c>
      <c r="AL14" s="261" t="str">
        <f>IF(AC14="","-",IF(LOOKUP(AC14,BoonRef!A$2:A$430,BoonRef!M$2:M$430)=0,"-",LOOKUP(AC14,BoonRef!A$2:A$430,BoonRef!M$2:M$430)))</f>
        <v>-</v>
      </c>
      <c r="AM14" s="356" t="str">
        <f>IF(AC14="","-",IF(LOOKUP(AC14,BoonRef!A$2:A$430,BoonRef!N$2:N$430)="None","-",LOOKUP(AC14,BoonRef!A$2:A$430,BoonRef!N$2:N$430)))</f>
        <v>-</v>
      </c>
      <c r="AN14" s="356"/>
      <c r="AO14" s="356"/>
      <c r="AP14" s="356"/>
      <c r="AQ14" s="356"/>
      <c r="AR14" s="356"/>
      <c r="AS14" s="356"/>
      <c r="AT14" s="356"/>
      <c r="AU14" s="356"/>
      <c r="AV14" s="357"/>
      <c r="AW14" s="362"/>
      <c r="AX14" s="363"/>
      <c r="AY14" s="363"/>
      <c r="AZ14" s="363"/>
      <c r="BA14" s="356" t="str">
        <f>IF(AW14="Custom1",DB$4,IF(AW14="Custom2",DB$5,IF(AW14="Custom3",DB$6,IF(AW14="Custom4",DB$7,IF(AW14="Custom5",DB$8,IF(AW14="Custom6",DB$9,IF(AW14="Custom7",DB$10,IF(AW14="Custom8",DB$11,IF(AW14="Custom9",DB$12,IF(AW14="Custom10",DB$13,IF(AW14="","",LOOKUP(AW14,ArmoryRef!$A$2:$A$116,ArmoryRef!$B$2:$B$116))))))))))))</f>
        <v/>
      </c>
      <c r="BB14" s="356"/>
      <c r="BC14" s="272">
        <f>IF(AW14="Custom1",DD$4,IF(AW14="Custom2",DD$5,IF(AW14="Custom3",DD$6,IF(AW14="Custom4",DD$7,IF(AW14="Custom5",DD$8,IF(AW14="Custom6",DD$9,IF(AW14="Custom7",DD$10,IF(AW14="Custom8",DD$11,IF(AW14="Custom9",DD$12,IF(AW14="Custom10",DD$13,IF(AW14="","0",LOOKUP(AW14,ArmoryRef!$A$2:$A$116,ArmoryRef!$J$2:$J$116))))))))))))+IF(BO14="","0",BO14)</f>
        <v>0</v>
      </c>
      <c r="BD14" s="272">
        <f>IF(AW14="","0",IF(OR(AW14=$CS$4,AW14=$CS$5,AW14=$CS$6,AW14=$CS$7,AW14=$CS$8,AW14=$CS$9,AW14=$CS$10,AW14=$CS$10,AW14=$CS$11,$CS$12=AW14,AW14=$CS$13),LOOKUP(AW14,$CS$4:$CU$13,$DQ$4:$DQ$13),LOOKUP(AW14,ArmoryRef!$A$2:$A$116,ArmoryRef!$D$2:$D$116)))+IF(BQ14="","0",BQ14)</f>
        <v>0</v>
      </c>
      <c r="BE14" s="272" t="s">
        <v>98</v>
      </c>
      <c r="BF14" s="272" t="str">
        <f t="shared" si="2"/>
        <v/>
      </c>
      <c r="BG14" s="272">
        <f>IF(AW14="","0",IF(OR(AW14=$CS$4,AW14=$CS$5,AW14=$CS$6,AW14=$CS$7,AW14=$CS$8,AW14=$CS$9,AW14=$CS$10,AW14=$CS$10,AW14=$CS$11,$CS$12=AW14,AW14=$CS$13),LOOKUP(AW14,$CS$4:$CU$13,$DR$4:$DR$13),LOOKUP(AW14,ArmoryRef!$A$2:$A$116,ArmoryRef!$F$2:$F$116)))+IF(BS14="","0",BS14)</f>
        <v>0</v>
      </c>
      <c r="BH14" s="272" t="s">
        <v>98</v>
      </c>
      <c r="BI14" s="272" t="str">
        <f t="shared" si="1"/>
        <v/>
      </c>
      <c r="BJ14" s="272" t="str">
        <f>IF(AW14="Custom1",DK$4,IF(AW14="Custom2",DK$5,IF(AW14="Custom3",DK$6,IF(AW14="Custom4",DK$7,IF(AW14="Custom5",DK$8,IF(AW14="Custom6",DK$9,IF(AW14="Custom7",DK$10,IF(AW14="Custom8",DK$11,IF(AW14="Custom9",DK$12,IF(AW14="Custom10",DK$13,IF(AW14="","",LOOKUP(AW14,ArmoryRef!$A$2:$A$116,ArmoryRef!$G$2:$G$116))))))))))))</f>
        <v/>
      </c>
      <c r="BK14" s="272" t="str">
        <f>IF(AW14="","",IF(OR(BA14="Marks",BA14="Thrown",AW14="Clinch"),"--",IF(OR(AW14=$CS$4,AW14=$CS$5,AW14=$CS$6,AW14=$CS$7,AW14=$CS$8,AW14=$CS$9,AW14=$CS$10,AW14=$CS$10,AW14=$CS$11,$CS$12=AW14,AW14=$CS$13),LOOKUP(AW14,$CS$4:$CU$13,$DS$4:$DS$13),LOOKUP(AW14,ArmoryRef!$A$2:$A$116,ArmoryRef!$I$2:$I$116))+IF(AW14="","",IF(BP14="","0",BP14))))</f>
        <v/>
      </c>
      <c r="BL14" s="356" t="str">
        <f>IF(AW14="Custom1",DN$4,IF(AW14="Custom2",DN$5,IF(AW14="Custom3",DN$6,IF(AW14="Custom4",DN$7,IF(AW14="Custom5",DN$8,IF(AW14="Custom6",DN$9,IF(AW14="Custom7",DN$10,IF(AW14="Custom8",DN$11,IF(AW14="Custom9",DN$12,IF(AW14="Custom10",DN$13,IF(AW14="","",LOOKUP(AW14,ArmoryRef!$A$2:$A$116,ArmoryRef!$K$2:$K$116))))))))))))</f>
        <v/>
      </c>
      <c r="BM14" s="356"/>
      <c r="BN14" s="272" t="str">
        <f>IF(AW14="Custom1",DP$4,IF(AW14="Custom2",DP$5,IF(AW14="Custom3",DP$6,IF(AW14="Custom4",DP$7,IF(AW14="Custom5",DP$8,IF(AW14="Custom6",DP$9,IF(AW14="Custom7",DP$10,IF(AW14="Custom8",DP$11,IF(AW14="Custom9",DP$12,IF(AW14="Custom10",DP$13,IF(AW14="","",LOOKUP(AW14,ArmoryRef!$A$2:$A$116,ArmoryRef!$L$2:$L$116))))))))))))</f>
        <v/>
      </c>
      <c r="BO14" s="273"/>
      <c r="BP14" s="273"/>
      <c r="BQ14" s="363"/>
      <c r="BR14" s="363"/>
      <c r="BS14" s="363"/>
      <c r="BT14" s="369"/>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3"/>
      <c r="CS14" s="399" t="s">
        <v>707</v>
      </c>
      <c r="CT14" s="400"/>
      <c r="CU14" s="400"/>
      <c r="CV14" s="400" t="s">
        <v>92</v>
      </c>
      <c r="CW14" s="400"/>
      <c r="CX14" s="400"/>
      <c r="CY14" s="400"/>
      <c r="CZ14" s="400"/>
      <c r="DA14" s="400"/>
      <c r="DB14" s="400"/>
      <c r="DC14" s="400"/>
      <c r="DD14" s="400"/>
      <c r="DE14" s="400" t="s">
        <v>89</v>
      </c>
      <c r="DF14" s="400"/>
      <c r="DG14" s="400"/>
      <c r="DH14" s="400" t="s">
        <v>90</v>
      </c>
      <c r="DI14" s="400"/>
      <c r="DJ14" s="400"/>
      <c r="DK14" s="400" t="s">
        <v>91</v>
      </c>
      <c r="DL14" s="400"/>
      <c r="DM14" s="400"/>
      <c r="DN14" s="400" t="s">
        <v>93</v>
      </c>
      <c r="DO14" s="400"/>
      <c r="DP14" s="500"/>
    </row>
    <row r="15" spans="1:123" x14ac:dyDescent="0.25">
      <c r="A15" s="406" t="s">
        <v>38</v>
      </c>
      <c r="B15" s="407"/>
      <c r="C15" s="407"/>
      <c r="D15" s="407"/>
      <c r="E15" s="403">
        <f>SUM(DotTracking!T12:X12,DotTracking!AR12:AV12,DotTracking!BP12:BT12,DotTracking!CN12:CR12,DotTracking!DL12:DP12,DotTracking!ES10:EW10,DotTracking!FB10:FF10,DotTracking!FK10:FO10,DotTracking!FT10:FX10,DotTracking!GC10:GG10)</f>
        <v>0</v>
      </c>
      <c r="F15" s="403"/>
      <c r="G15" s="359"/>
      <c r="H15" s="410"/>
      <c r="I15" s="406" t="s">
        <v>48</v>
      </c>
      <c r="J15" s="407"/>
      <c r="K15" s="407"/>
      <c r="L15" s="407"/>
      <c r="M15" s="403">
        <f>SUM(DotTracking!T22:X22,DotTracking!AR22:AV22,DotTracking!BP22:BT22,DotTracking!CN22:CR22,DotTracking!DL22:DP22,DotTracking!ES20:EW20,DotTracking!FB20:FF20,DotTracking!FK20:FO20,DotTracking!FT20:FX20,DotTracking!GC20:GG20)</f>
        <v>0</v>
      </c>
      <c r="N15" s="403"/>
      <c r="O15" s="359"/>
      <c r="P15" s="410"/>
      <c r="Q15" s="411" t="s">
        <v>536</v>
      </c>
      <c r="R15" s="412"/>
      <c r="S15" s="412"/>
      <c r="T15" s="412"/>
      <c r="U15" s="403">
        <f>SUM(DotTracking!T32:X32,DotTracking!AR32:AV32,DotTracking!BP32:BT32,DotTracking!CN32:CR32,DotTracking!DL32:DP32,DotTracking!ES30:EW30,DotTracking!FB30:FF30,DotTracking!FK30:FO30,DotTracking!FT30:FX30,DotTracking!GC30:GG30)</f>
        <v>0</v>
      </c>
      <c r="V15" s="403"/>
      <c r="W15" s="359"/>
      <c r="X15" s="413"/>
      <c r="Y15" s="358"/>
      <c r="Z15" s="359"/>
      <c r="AA15" s="359"/>
      <c r="AB15" s="359"/>
      <c r="AC15" s="359"/>
      <c r="AD15" s="359"/>
      <c r="AE15" s="359"/>
      <c r="AF15" s="359"/>
      <c r="AG15" s="359"/>
      <c r="AH15" s="359"/>
      <c r="AI15" s="359"/>
      <c r="AJ15" s="261" t="str">
        <f>IF(AC15="","-",IF(LOOKUP(AC15,BoonRef!A$2:A$430,BoonRef!I$2:I$430)="None","-",LOOKUP(AC15,BoonRef!A$2:A$430,BoonRef!I$2:I$430)))</f>
        <v>-</v>
      </c>
      <c r="AK15" s="261" t="s">
        <v>98</v>
      </c>
      <c r="AL15" s="261" t="str">
        <f>IF(AC15="","-",IF(LOOKUP(AC15,BoonRef!A$2:A$430,BoonRef!M$2:M$430)=0,"-",LOOKUP(AC15,BoonRef!A$2:A$430,BoonRef!M$2:M$430)))</f>
        <v>-</v>
      </c>
      <c r="AM15" s="356" t="str">
        <f>IF(AC15="","-",IF(LOOKUP(AC15,BoonRef!A$2:A$430,BoonRef!N$2:N$430)="None","-",LOOKUP(AC15,BoonRef!A$2:A$430,BoonRef!N$2:N$430)))</f>
        <v>-</v>
      </c>
      <c r="AN15" s="356"/>
      <c r="AO15" s="356"/>
      <c r="AP15" s="356"/>
      <c r="AQ15" s="356"/>
      <c r="AR15" s="356"/>
      <c r="AS15" s="356"/>
      <c r="AT15" s="356"/>
      <c r="AU15" s="356"/>
      <c r="AV15" s="357"/>
      <c r="AW15" s="362"/>
      <c r="AX15" s="363"/>
      <c r="AY15" s="363"/>
      <c r="AZ15" s="363"/>
      <c r="BA15" s="356" t="str">
        <f>IF(AW15="Custom1",DB$4,IF(AW15="Custom2",DB$5,IF(AW15="Custom3",DB$6,IF(AW15="Custom4",DB$7,IF(AW15="Custom5",DB$8,IF(AW15="Custom6",DB$9,IF(AW15="Custom7",DB$10,IF(AW15="Custom8",DB$11,IF(AW15="Custom9",DB$12,IF(AW15="Custom10",DB$13,IF(AW15="","",LOOKUP(AW15,ArmoryRef!$A$2:$A$116,ArmoryRef!$B$2:$B$116))))))))))))</f>
        <v/>
      </c>
      <c r="BB15" s="356"/>
      <c r="BC15" s="272">
        <f>IF(AW15="Custom1",DD$4,IF(AW15="Custom2",DD$5,IF(AW15="Custom3",DD$6,IF(AW15="Custom4",DD$7,IF(AW15="Custom5",DD$8,IF(AW15="Custom6",DD$9,IF(AW15="Custom7",DD$10,IF(AW15="Custom8",DD$11,IF(AW15="Custom9",DD$12,IF(AW15="Custom10",DD$13,IF(AW15="","0",LOOKUP(AW15,ArmoryRef!$A$2:$A$116,ArmoryRef!$J$2:$J$116))))))))))))+IF(BO15="","0",BO15)</f>
        <v>0</v>
      </c>
      <c r="BD15" s="272">
        <f>IF(AW15="","0",IF(OR(AW15=$CS$4,AW15=$CS$5,AW15=$CS$6,AW15=$CS$7,AW15=$CS$8,AW15=$CS$9,AW15=$CS$10,AW15=$CS$10,AW15=$CS$11,$CS$12=AW15,AW15=$CS$13),LOOKUP(AW15,$CS$4:$CU$13,$DQ$4:$DQ$13),LOOKUP(AW15,ArmoryRef!$A$2:$A$116,ArmoryRef!$D$2:$D$116)))+IF(BQ15="","0",BQ15)</f>
        <v>0</v>
      </c>
      <c r="BE15" s="272" t="s">
        <v>98</v>
      </c>
      <c r="BF15" s="272" t="str">
        <f t="shared" si="2"/>
        <v/>
      </c>
      <c r="BG15" s="272">
        <f>IF(AW15="","0",IF(OR(AW15=$CS$4,AW15=$CS$5,AW15=$CS$6,AW15=$CS$7,AW15=$CS$8,AW15=$CS$9,AW15=$CS$10,AW15=$CS$10,AW15=$CS$11,$CS$12=AW15,AW15=$CS$13),LOOKUP(AW15,$CS$4:$CU$13,$DR$4:$DR$13),LOOKUP(AW15,ArmoryRef!$A$2:$A$116,ArmoryRef!$F$2:$F$116)))+IF(BS15="","0",BS15)</f>
        <v>0</v>
      </c>
      <c r="BH15" s="272" t="s">
        <v>98</v>
      </c>
      <c r="BI15" s="272" t="str">
        <f t="shared" si="1"/>
        <v/>
      </c>
      <c r="BJ15" s="272" t="str">
        <f>IF(AW15="Custom1",DK$4,IF(AW15="Custom2",DK$5,IF(AW15="Custom3",DK$6,IF(AW15="Custom4",DK$7,IF(AW15="Custom5",DK$8,IF(AW15="Custom6",DK$9,IF(AW15="Custom7",DK$10,IF(AW15="Custom8",DK$11,IF(AW15="Custom9",DK$12,IF(AW15="Custom10",DK$13,IF(AW15="","",LOOKUP(AW15,ArmoryRef!$A$2:$A$116,ArmoryRef!$G$2:$G$116))))))))))))</f>
        <v/>
      </c>
      <c r="BK15" s="272" t="str">
        <f>IF(AW15="","",IF(OR(BA15="Marks",BA15="Thrown",AW15="Clinch"),"--",IF(OR(AW15=$CS$4,AW15=$CS$5,AW15=$CS$6,AW15=$CS$7,AW15=$CS$8,AW15=$CS$9,AW15=$CS$10,AW15=$CS$10,AW15=$CS$11,$CS$12=AW15,AW15=$CS$13),LOOKUP(AW15,$CS$4:$CU$13,$DS$4:$DS$13),LOOKUP(AW15,ArmoryRef!$A$2:$A$116,ArmoryRef!$I$2:$I$116))+IF(AW15="","",IF(BP15="","0",BP15))))</f>
        <v/>
      </c>
      <c r="BL15" s="356" t="str">
        <f>IF(AW15="Custom1",DN$4,IF(AW15="Custom2",DN$5,IF(AW15="Custom3",DN$6,IF(AW15="Custom4",DN$7,IF(AW15="Custom5",DN$8,IF(AW15="Custom6",DN$9,IF(AW15="Custom7",DN$10,IF(AW15="Custom8",DN$11,IF(AW15="Custom9",DN$12,IF(AW15="Custom10",DN$13,IF(AW15="","",LOOKUP(AW15,ArmoryRef!$A$2:$A$116,ArmoryRef!$K$2:$K$116))))))))))))</f>
        <v/>
      </c>
      <c r="BM15" s="356"/>
      <c r="BN15" s="272" t="str">
        <f>IF(AW15="Custom1",DP$4,IF(AW15="Custom2",DP$5,IF(AW15="Custom3",DP$6,IF(AW15="Custom4",DP$7,IF(AW15="Custom5",DP$8,IF(AW15="Custom6",DP$9,IF(AW15="Custom7",DP$10,IF(AW15="Custom8",DP$11,IF(AW15="Custom9",DP$12,IF(AW15="Custom10",DP$13,IF(AW15="","",LOOKUP(AW15,ArmoryRef!$A$2:$A$116,ArmoryRef!$L$2:$L$116))))))))))))</f>
        <v/>
      </c>
      <c r="BO15" s="273"/>
      <c r="BP15" s="273"/>
      <c r="BQ15" s="363"/>
      <c r="BR15" s="363"/>
      <c r="BS15" s="363"/>
      <c r="BT15" s="369"/>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3"/>
      <c r="CS15" s="502" t="s">
        <v>841</v>
      </c>
      <c r="CT15" s="492"/>
      <c r="CU15" s="492"/>
      <c r="CV15" s="495"/>
      <c r="CW15" s="495"/>
      <c r="CX15" s="495"/>
      <c r="CY15" s="495"/>
      <c r="CZ15" s="495"/>
      <c r="DA15" s="495"/>
      <c r="DB15" s="495"/>
      <c r="DC15" s="495"/>
      <c r="DD15" s="495"/>
      <c r="DE15" s="495"/>
      <c r="DF15" s="495"/>
      <c r="DG15" s="495"/>
      <c r="DH15" s="495"/>
      <c r="DI15" s="495"/>
      <c r="DJ15" s="495"/>
      <c r="DK15" s="495"/>
      <c r="DL15" s="495"/>
      <c r="DM15" s="495"/>
      <c r="DN15" s="495"/>
      <c r="DO15" s="495"/>
      <c r="DP15" s="503"/>
    </row>
    <row r="16" spans="1:123" x14ac:dyDescent="0.25">
      <c r="A16" s="406" t="s">
        <v>39</v>
      </c>
      <c r="B16" s="407"/>
      <c r="C16" s="407"/>
      <c r="D16" s="407"/>
      <c r="E16" s="403">
        <f>SUM(DotTracking!T13:X13,DotTracking!AR13:AV13,DotTracking!BP13:BT13,DotTracking!CN13:CR13,DotTracking!DL13:DP13,DotTracking!ES11:EW11,DotTracking!FB11:FF11,DotTracking!FK11:FO11,DotTracking!FT11:FX11,DotTracking!GC11:GG11)</f>
        <v>0</v>
      </c>
      <c r="F16" s="403"/>
      <c r="G16" s="359"/>
      <c r="H16" s="410"/>
      <c r="I16" s="406" t="s">
        <v>49</v>
      </c>
      <c r="J16" s="407"/>
      <c r="K16" s="407"/>
      <c r="L16" s="407"/>
      <c r="M16" s="403">
        <f>SUM(DotTracking!T23:X23,DotTracking!AR23:AV23,DotTracking!BP23:BT23,DotTracking!CN23:CR23,DotTracking!DL23:DP23,DotTracking!ES21:EW21,DotTracking!FB21:FF21,DotTracking!FK21:FO21,DotTracking!FT21:FX21,DotTracking!GC21:GG21)</f>
        <v>0</v>
      </c>
      <c r="N16" s="403"/>
      <c r="O16" s="359"/>
      <c r="P16" s="410"/>
      <c r="Q16" s="411" t="s">
        <v>536</v>
      </c>
      <c r="R16" s="412"/>
      <c r="S16" s="412"/>
      <c r="T16" s="412"/>
      <c r="U16" s="403">
        <f>SUM(DotTracking!T33:X33,DotTracking!AR33:AV33,DotTracking!BP33:BT33,DotTracking!CN33:CR33,DotTracking!DL33:DP33,DotTracking!ES31:EW31,DotTracking!FB31:FF31,DotTracking!FK31:FO31,DotTracking!FT31:FX31,DotTracking!GC31:GG31)</f>
        <v>0</v>
      </c>
      <c r="V16" s="403"/>
      <c r="W16" s="359"/>
      <c r="X16" s="413"/>
      <c r="Y16" s="358"/>
      <c r="Z16" s="359"/>
      <c r="AA16" s="359"/>
      <c r="AB16" s="359"/>
      <c r="AC16" s="359"/>
      <c r="AD16" s="359"/>
      <c r="AE16" s="359"/>
      <c r="AF16" s="359"/>
      <c r="AG16" s="359"/>
      <c r="AH16" s="359"/>
      <c r="AI16" s="359"/>
      <c r="AJ16" s="261" t="str">
        <f>IF(AC16="","-",IF(LOOKUP(AC16,BoonRef!A$2:A$430,BoonRef!I$2:I$430)="None","-",LOOKUP(AC16,BoonRef!A$2:A$430,BoonRef!I$2:I$430)))</f>
        <v>-</v>
      </c>
      <c r="AK16" s="261" t="s">
        <v>98</v>
      </c>
      <c r="AL16" s="261" t="str">
        <f>IF(AC16="","-",IF(LOOKUP(AC16,BoonRef!A$2:A$430,BoonRef!M$2:M$430)=0,"-",LOOKUP(AC16,BoonRef!A$2:A$430,BoonRef!M$2:M$430)))</f>
        <v>-</v>
      </c>
      <c r="AM16" s="356" t="str">
        <f>IF(AC16="","-",IF(LOOKUP(AC16,BoonRef!A$2:A$430,BoonRef!N$2:N$430)="None","-",LOOKUP(AC16,BoonRef!A$2:A$430,BoonRef!N$2:N$430)))</f>
        <v>-</v>
      </c>
      <c r="AN16" s="356"/>
      <c r="AO16" s="356"/>
      <c r="AP16" s="356"/>
      <c r="AQ16" s="356"/>
      <c r="AR16" s="356"/>
      <c r="AS16" s="356"/>
      <c r="AT16" s="356"/>
      <c r="AU16" s="356"/>
      <c r="AV16" s="357"/>
      <c r="AW16" s="362"/>
      <c r="AX16" s="363"/>
      <c r="AY16" s="363"/>
      <c r="AZ16" s="363"/>
      <c r="BA16" s="356" t="str">
        <f>IF(AW16="Custom1",DB$4,IF(AW16="Custom2",DB$5,IF(AW16="Custom3",DB$6,IF(AW16="Custom4",DB$7,IF(AW16="Custom5",DB$8,IF(AW16="Custom6",DB$9,IF(AW16="Custom7",DB$10,IF(AW16="Custom8",DB$11,IF(AW16="Custom9",DB$12,IF(AW16="Custom10",DB$13,IF(AW16="","",LOOKUP(AW16,ArmoryRef!$A$2:$A$116,ArmoryRef!$B$2:$B$116))))))))))))</f>
        <v/>
      </c>
      <c r="BB16" s="356"/>
      <c r="BC16" s="272">
        <f>IF(AW16="Custom1",DD$4,IF(AW16="Custom2",DD$5,IF(AW16="Custom3",DD$6,IF(AW16="Custom4",DD$7,IF(AW16="Custom5",DD$8,IF(AW16="Custom6",DD$9,IF(AW16="Custom7",DD$10,IF(AW16="Custom8",DD$11,IF(AW16="Custom9",DD$12,IF(AW16="Custom10",DD$13,IF(AW16="","0",LOOKUP(AW16,ArmoryRef!$A$2:$A$116,ArmoryRef!$J$2:$J$116))))))))))))+IF(BO16="","0",BO16)</f>
        <v>0</v>
      </c>
      <c r="BD16" s="272">
        <f>IF(AW16="","0",IF(OR(AW16=$CS$4,AW16=$CS$5,AW16=$CS$6,AW16=$CS$7,AW16=$CS$8,AW16=$CS$9,AW16=$CS$10,AW16=$CS$10,AW16=$CS$11,$CS$12=AW16,AW16=$CS$13),LOOKUP(AW16,$CS$4:$CU$13,$DQ$4:$DQ$13),LOOKUP(AW16,ArmoryRef!$A$2:$A$116,ArmoryRef!$D$2:$D$116)))+IF(BQ16="","0",BQ16)</f>
        <v>0</v>
      </c>
      <c r="BE16" s="272" t="s">
        <v>98</v>
      </c>
      <c r="BF16" s="272" t="str">
        <f t="shared" si="2"/>
        <v/>
      </c>
      <c r="BG16" s="272">
        <f>IF(AW16="","0",IF(OR(AW16=$CS$4,AW16=$CS$5,AW16=$CS$6,AW16=$CS$7,AW16=$CS$8,AW16=$CS$9,AW16=$CS$10,AW16=$CS$10,AW16=$CS$11,$CS$12=AW16,AW16=$CS$13),LOOKUP(AW16,$CS$4:$CU$13,$DR$4:$DR$13),LOOKUP(AW16,ArmoryRef!$A$2:$A$116,ArmoryRef!$F$2:$F$116)))+IF(BS16="","0",BS16)</f>
        <v>0</v>
      </c>
      <c r="BH16" s="272" t="s">
        <v>98</v>
      </c>
      <c r="BI16" s="272" t="str">
        <f t="shared" si="1"/>
        <v/>
      </c>
      <c r="BJ16" s="272" t="str">
        <f>IF(AW16="Custom1",DK$4,IF(AW16="Custom2",DK$5,IF(AW16="Custom3",DK$6,IF(AW16="Custom4",DK$7,IF(AW16="Custom5",DK$8,IF(AW16="Custom6",DK$9,IF(AW16="Custom7",DK$10,IF(AW16="Custom8",DK$11,IF(AW16="Custom9",DK$12,IF(AW16="Custom10",DK$13,IF(AW16="","",LOOKUP(AW16,ArmoryRef!$A$2:$A$116,ArmoryRef!$G$2:$G$116))))))))))))</f>
        <v/>
      </c>
      <c r="BK16" s="272" t="str">
        <f>IF(AW16="","",IF(OR(BA16="Marks",BA16="Thrown",AW16="Clinch"),"--",IF(OR(AW16=$CS$4,AW16=$CS$5,AW16=$CS$6,AW16=$CS$7,AW16=$CS$8,AW16=$CS$9,AW16=$CS$10,AW16=$CS$10,AW16=$CS$11,$CS$12=AW16,AW16=$CS$13),LOOKUP(AW16,$CS$4:$CU$13,$DS$4:$DS$13),LOOKUP(AW16,ArmoryRef!$A$2:$A$116,ArmoryRef!$I$2:$I$116))+IF(AW16="","",IF(BP16="","0",BP16))))</f>
        <v/>
      </c>
      <c r="BL16" s="356" t="str">
        <f>IF(AW16="Custom1",DN$4,IF(AW16="Custom2",DN$5,IF(AW16="Custom3",DN$6,IF(AW16="Custom4",DN$7,IF(AW16="Custom5",DN$8,IF(AW16="Custom6",DN$9,IF(AW16="Custom7",DN$10,IF(AW16="Custom8",DN$11,IF(AW16="Custom9",DN$12,IF(AW16="Custom10",DN$13,IF(AW16="","",LOOKUP(AW16,ArmoryRef!$A$2:$A$116,ArmoryRef!$K$2:$K$116))))))))))))</f>
        <v/>
      </c>
      <c r="BM16" s="356"/>
      <c r="BN16" s="272" t="str">
        <f>IF(AW16="Custom1",DP$4,IF(AW16="Custom2",DP$5,IF(AW16="Custom3",DP$6,IF(AW16="Custom4",DP$7,IF(AW16="Custom5",DP$8,IF(AW16="Custom6",DP$9,IF(AW16="Custom7",DP$10,IF(AW16="Custom8",DP$11,IF(AW16="Custom9",DP$12,IF(AW16="Custom10",DP$13,IF(AW16="","",LOOKUP(AW16,ArmoryRef!$A$2:$A$116,ArmoryRef!$L$2:$L$116))))))))))))</f>
        <v/>
      </c>
      <c r="BO16" s="273"/>
      <c r="BP16" s="273"/>
      <c r="BQ16" s="363"/>
      <c r="BR16" s="363"/>
      <c r="BS16" s="363"/>
      <c r="BT16" s="369"/>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3"/>
      <c r="CS16" s="494" t="s">
        <v>842</v>
      </c>
      <c r="CT16" s="403"/>
      <c r="CU16" s="403"/>
      <c r="CV16" s="359"/>
      <c r="CW16" s="359"/>
      <c r="CX16" s="359"/>
      <c r="CY16" s="359"/>
      <c r="CZ16" s="359"/>
      <c r="DA16" s="359"/>
      <c r="DB16" s="359"/>
      <c r="DC16" s="359"/>
      <c r="DD16" s="359"/>
      <c r="DE16" s="359"/>
      <c r="DF16" s="359"/>
      <c r="DG16" s="359"/>
      <c r="DH16" s="359"/>
      <c r="DI16" s="359"/>
      <c r="DJ16" s="359"/>
      <c r="DK16" s="359"/>
      <c r="DL16" s="359"/>
      <c r="DM16" s="359"/>
      <c r="DN16" s="359"/>
      <c r="DO16" s="359"/>
      <c r="DP16" s="410"/>
    </row>
    <row r="17" spans="1:122" ht="15.75" thickBot="1" x14ac:dyDescent="0.3">
      <c r="A17" s="406" t="s">
        <v>40</v>
      </c>
      <c r="B17" s="407"/>
      <c r="C17" s="407"/>
      <c r="D17" s="407"/>
      <c r="E17" s="403">
        <f>SUM(DotTracking!T14:X14,DotTracking!AR14:AV14,DotTracking!BP14:BT14,DotTracking!CN14:CR14,DotTracking!DL14:DP14,DotTracking!ES12:EW12,DotTracking!FB12:FF12,DotTracking!FK12:FO12,DotTracking!FT12:FX12,DotTracking!GC12:GG12)</f>
        <v>0</v>
      </c>
      <c r="F17" s="403"/>
      <c r="G17" s="359"/>
      <c r="H17" s="410"/>
      <c r="I17" s="406" t="s">
        <v>50</v>
      </c>
      <c r="J17" s="407"/>
      <c r="K17" s="407"/>
      <c r="L17" s="407"/>
      <c r="M17" s="403">
        <f>SUM(DotTracking!T24:X24,DotTracking!AR24:AV24,DotTracking!BP24:BT24,DotTracking!CN24:CR24,DotTracking!DL24:DP24,DotTracking!ES22:EW22,DotTracking!FB22:FF22,DotTracking!FK22:FO22,DotTracking!FT22:FX22,DotTracking!GC22:GG22)</f>
        <v>0</v>
      </c>
      <c r="N17" s="403"/>
      <c r="O17" s="359"/>
      <c r="P17" s="410"/>
      <c r="Q17" s="411" t="s">
        <v>536</v>
      </c>
      <c r="R17" s="412"/>
      <c r="S17" s="412"/>
      <c r="T17" s="412"/>
      <c r="U17" s="403">
        <f>SUM(DotTracking!T34:X34,DotTracking!AR34:AV34,DotTracking!BP34:BT34,DotTracking!CN34:CR34,DotTracking!DL34:DP34,DotTracking!ES32:EW32,DotTracking!FB32:FF32,DotTracking!FK32:FO32,DotTracking!FT32:FX32,DotTracking!GC32:GG32)</f>
        <v>0</v>
      </c>
      <c r="V17" s="403"/>
      <c r="W17" s="359"/>
      <c r="X17" s="413"/>
      <c r="Y17" s="358"/>
      <c r="Z17" s="359"/>
      <c r="AA17" s="359"/>
      <c r="AB17" s="359"/>
      <c r="AC17" s="359"/>
      <c r="AD17" s="359"/>
      <c r="AE17" s="359"/>
      <c r="AF17" s="359"/>
      <c r="AG17" s="359"/>
      <c r="AH17" s="359"/>
      <c r="AI17" s="359"/>
      <c r="AJ17" s="261" t="str">
        <f>IF(AC17="","-",IF(LOOKUP(AC17,BoonRef!A$2:A$430,BoonRef!I$2:I$430)="None","-",LOOKUP(AC17,BoonRef!A$2:A$430,BoonRef!I$2:I$430)))</f>
        <v>-</v>
      </c>
      <c r="AK17" s="261" t="s">
        <v>98</v>
      </c>
      <c r="AL17" s="261" t="str">
        <f>IF(AC17="","-",IF(LOOKUP(AC17,BoonRef!A$2:A$430,BoonRef!M$2:M$430)=0,"-",LOOKUP(AC17,BoonRef!A$2:A$430,BoonRef!M$2:M$430)))</f>
        <v>-</v>
      </c>
      <c r="AM17" s="356" t="str">
        <f>IF(AC17="","-",IF(LOOKUP(AC17,BoonRef!A$2:A$430,BoonRef!N$2:N$430)="None","-",LOOKUP(AC17,BoonRef!A$2:A$430,BoonRef!N$2:N$430)))</f>
        <v>-</v>
      </c>
      <c r="AN17" s="356"/>
      <c r="AO17" s="356"/>
      <c r="AP17" s="356"/>
      <c r="AQ17" s="356"/>
      <c r="AR17" s="356"/>
      <c r="AS17" s="356"/>
      <c r="AT17" s="356"/>
      <c r="AU17" s="356"/>
      <c r="AV17" s="357"/>
      <c r="AW17" s="362"/>
      <c r="AX17" s="363"/>
      <c r="AY17" s="363"/>
      <c r="AZ17" s="363"/>
      <c r="BA17" s="356" t="str">
        <f>IF(AW17="Custom1",DB$4,IF(AW17="Custom2",DB$5,IF(AW17="Custom3",DB$6,IF(AW17="Custom4",DB$7,IF(AW17="Custom5",DB$8,IF(AW17="Custom6",DB$9,IF(AW17="Custom7",DB$10,IF(AW17="Custom8",DB$11,IF(AW17="Custom9",DB$12,IF(AW17="Custom10",DB$13,IF(AW17="","",LOOKUP(AW17,ArmoryRef!$A$2:$A$116,ArmoryRef!$B$2:$B$116))))))))))))</f>
        <v/>
      </c>
      <c r="BB17" s="356"/>
      <c r="BC17" s="272">
        <f>IF(AW17="Custom1",DD$4,IF(AW17="Custom2",DD$5,IF(AW17="Custom3",DD$6,IF(AW17="Custom4",DD$7,IF(AW17="Custom5",DD$8,IF(AW17="Custom6",DD$9,IF(AW17="Custom7",DD$10,IF(AW17="Custom8",DD$11,IF(AW17="Custom9",DD$12,IF(AW17="Custom10",DD$13,IF(AW17="","0",LOOKUP(AW17,ArmoryRef!$A$2:$A$116,ArmoryRef!$J$2:$J$116))))))))))))+IF(BO17="","0",BO17)</f>
        <v>0</v>
      </c>
      <c r="BD17" s="272">
        <f>IF(AW17="","0",IF(OR(AW17=$CS$4,AW17=$CS$5,AW17=$CS$6,AW17=$CS$7,AW17=$CS$8,AW17=$CS$9,AW17=$CS$10,AW17=$CS$10,AW17=$CS$11,$CS$12=AW17,AW17=$CS$13),LOOKUP(AW17,$CS$4:$CU$13,$DQ$4:$DQ$13),LOOKUP(AW17,ArmoryRef!$A$2:$A$116,ArmoryRef!$D$2:$D$116)))+IF(BQ17="","0",BQ17)</f>
        <v>0</v>
      </c>
      <c r="BE17" s="272" t="s">
        <v>98</v>
      </c>
      <c r="BF17" s="272" t="str">
        <f t="shared" si="2"/>
        <v/>
      </c>
      <c r="BG17" s="272">
        <f>IF(AW17="","0",IF(OR(AW17=$CS$4,AW17=$CS$5,AW17=$CS$6,AW17=$CS$7,AW17=$CS$8,AW17=$CS$9,AW17=$CS$10,AW17=$CS$10,AW17=$CS$11,$CS$12=AW17,AW17=$CS$13),LOOKUP(AW17,$CS$4:$CU$13,$DR$4:$DR$13),LOOKUP(AW17,ArmoryRef!$A$2:$A$116,ArmoryRef!$F$2:$F$116)))+IF(BS17="","0",BS17)</f>
        <v>0</v>
      </c>
      <c r="BH17" s="272" t="s">
        <v>98</v>
      </c>
      <c r="BI17" s="272" t="str">
        <f t="shared" si="1"/>
        <v/>
      </c>
      <c r="BJ17" s="272" t="str">
        <f>IF(AW17="Custom1",DK$4,IF(AW17="Custom2",DK$5,IF(AW17="Custom3",DK$6,IF(AW17="Custom4",DK$7,IF(AW17="Custom5",DK$8,IF(AW17="Custom6",DK$9,IF(AW17="Custom7",DK$10,IF(AW17="Custom8",DK$11,IF(AW17="Custom9",DK$12,IF(AW17="Custom10",DK$13,IF(AW17="","",LOOKUP(AW17,ArmoryRef!$A$2:$A$116,ArmoryRef!$G$2:$G$116))))))))))))</f>
        <v/>
      </c>
      <c r="BK17" s="272" t="str">
        <f>IF(AW17="","",IF(OR(BA17="Marks",BA17="Thrown",AW17="Clinch"),"--",IF(OR(AW17=$CS$4,AW17=$CS$5,AW17=$CS$6,AW17=$CS$7,AW17=$CS$8,AW17=$CS$9,AW17=$CS$10,AW17=$CS$10,AW17=$CS$11,$CS$12=AW17,AW17=$CS$13),LOOKUP(AW17,$CS$4:$CU$13,$DS$4:$DS$13),LOOKUP(AW17,ArmoryRef!$A$2:$A$116,ArmoryRef!$I$2:$I$116))+IF(AW17="","",IF(BP17="","0",BP17))))</f>
        <v/>
      </c>
      <c r="BL17" s="356" t="str">
        <f>IF(AW17="Custom1",DN$4,IF(AW17="Custom2",DN$5,IF(AW17="Custom3",DN$6,IF(AW17="Custom4",DN$7,IF(AW17="Custom5",DN$8,IF(AW17="Custom6",DN$9,IF(AW17="Custom7",DN$10,IF(AW17="Custom8",DN$11,IF(AW17="Custom9",DN$12,IF(AW17="Custom10",DN$13,IF(AW17="","",LOOKUP(AW17,ArmoryRef!$A$2:$A$116,ArmoryRef!$K$2:$K$116))))))))))))</f>
        <v/>
      </c>
      <c r="BM17" s="356"/>
      <c r="BN17" s="272" t="str">
        <f>IF(AW17="Custom1",DP$4,IF(AW17="Custom2",DP$5,IF(AW17="Custom3",DP$6,IF(AW17="Custom4",DP$7,IF(AW17="Custom5",DP$8,IF(AW17="Custom6",DP$9,IF(AW17="Custom7",DP$10,IF(AW17="Custom8",DP$11,IF(AW17="Custom9",DP$12,IF(AW17="Custom10",DP$13,IF(AW17="","",LOOKUP(AW17,ArmoryRef!$A$2:$A$116,ArmoryRef!$L$2:$L$116))))))))))))</f>
        <v/>
      </c>
      <c r="BO17" s="273"/>
      <c r="BP17" s="273"/>
      <c r="BQ17" s="363"/>
      <c r="BR17" s="363"/>
      <c r="BS17" s="363"/>
      <c r="BT17" s="369"/>
      <c r="BU17" s="354"/>
      <c r="BV17" s="354"/>
      <c r="BW17" s="354"/>
      <c r="BX17" s="354"/>
      <c r="BY17" s="354"/>
      <c r="BZ17" s="354"/>
      <c r="CA17" s="354"/>
      <c r="CB17" s="354"/>
      <c r="CC17" s="354"/>
      <c r="CD17" s="354"/>
      <c r="CE17" s="354"/>
      <c r="CF17" s="354"/>
      <c r="CG17" s="354"/>
      <c r="CH17" s="354"/>
      <c r="CI17" s="354"/>
      <c r="CJ17" s="354"/>
      <c r="CK17" s="354"/>
      <c r="CL17" s="354"/>
      <c r="CM17" s="354"/>
      <c r="CN17" s="354"/>
      <c r="CO17" s="354"/>
      <c r="CP17" s="354"/>
      <c r="CQ17" s="354"/>
      <c r="CR17" s="355"/>
      <c r="CS17" s="469" t="s">
        <v>843</v>
      </c>
      <c r="CT17" s="414"/>
      <c r="CU17" s="414"/>
      <c r="CV17" s="415"/>
      <c r="CW17" s="415"/>
      <c r="CX17" s="415"/>
      <c r="CY17" s="415"/>
      <c r="CZ17" s="415"/>
      <c r="DA17" s="415"/>
      <c r="DB17" s="415"/>
      <c r="DC17" s="415"/>
      <c r="DD17" s="415"/>
      <c r="DE17" s="415"/>
      <c r="DF17" s="415"/>
      <c r="DG17" s="415"/>
      <c r="DH17" s="415"/>
      <c r="DI17" s="415"/>
      <c r="DJ17" s="415"/>
      <c r="DK17" s="415"/>
      <c r="DL17" s="415"/>
      <c r="DM17" s="415"/>
      <c r="DN17" s="415"/>
      <c r="DO17" s="415"/>
      <c r="DP17" s="429"/>
    </row>
    <row r="18" spans="1:122" ht="15" customHeight="1" x14ac:dyDescent="0.25">
      <c r="A18" s="406" t="s">
        <v>41</v>
      </c>
      <c r="B18" s="407"/>
      <c r="C18" s="407"/>
      <c r="D18" s="407"/>
      <c r="E18" s="403">
        <f>SUM(DotTracking!T15:X15,DotTracking!AR15:AV15,DotTracking!BP15:BT15,DotTracking!CN15:CR15,DotTracking!DL15:DP15,DotTracking!ES13:EW13,DotTracking!FB13:FF13,DotTracking!FK13:FO13,DotTracking!FT13:FX13,DotTracking!GC13:GG13)</f>
        <v>0</v>
      </c>
      <c r="F18" s="403"/>
      <c r="G18" s="359"/>
      <c r="H18" s="410"/>
      <c r="I18" s="406" t="s">
        <v>51</v>
      </c>
      <c r="J18" s="407"/>
      <c r="K18" s="407"/>
      <c r="L18" s="407"/>
      <c r="M18" s="403">
        <f>SUM(DotTracking!T25:X25,DotTracking!AR25:AV25,DotTracking!BP25:BT25,DotTracking!CN25:CR25,DotTracking!DL25:DP25,DotTracking!ES23:EW23,DotTracking!FB23:FF23,DotTracking!FK23:FO23,DotTracking!FT23:FX23,DotTracking!GC23:GG23)</f>
        <v>0</v>
      </c>
      <c r="N18" s="403"/>
      <c r="O18" s="359"/>
      <c r="P18" s="410"/>
      <c r="Q18" s="411" t="s">
        <v>536</v>
      </c>
      <c r="R18" s="412"/>
      <c r="S18" s="412"/>
      <c r="T18" s="412"/>
      <c r="U18" s="403">
        <f>SUM(DotTracking!T35:X35,DotTracking!AR35:AV35,DotTracking!BP35:BT35,DotTracking!CN35:CR35,DotTracking!DL35:DP35,DotTracking!ES33:EW33,DotTracking!FB33:FF33,DotTracking!FK33:FO33,DotTracking!FT33:FX33,DotTracking!GC33:GG33)</f>
        <v>0</v>
      </c>
      <c r="V18" s="403"/>
      <c r="W18" s="359"/>
      <c r="X18" s="413"/>
      <c r="Y18" s="358"/>
      <c r="Z18" s="359"/>
      <c r="AA18" s="359"/>
      <c r="AB18" s="359"/>
      <c r="AC18" s="359"/>
      <c r="AD18" s="359"/>
      <c r="AE18" s="359"/>
      <c r="AF18" s="359"/>
      <c r="AG18" s="359"/>
      <c r="AH18" s="359"/>
      <c r="AI18" s="359"/>
      <c r="AJ18" s="261" t="str">
        <f>IF(AC18="","-",IF(LOOKUP(AC18,BoonRef!A$2:A$430,BoonRef!I$2:I$430)="None","-",LOOKUP(AC18,BoonRef!A$2:A$430,BoonRef!I$2:I$430)))</f>
        <v>-</v>
      </c>
      <c r="AK18" s="261" t="s">
        <v>98</v>
      </c>
      <c r="AL18" s="261" t="str">
        <f>IF(AC18="","-",IF(LOOKUP(AC18,BoonRef!A$2:A$430,BoonRef!M$2:M$430)=0,"-",LOOKUP(AC18,BoonRef!A$2:A$430,BoonRef!M$2:M$430)))</f>
        <v>-</v>
      </c>
      <c r="AM18" s="356" t="str">
        <f>IF(AC18="","-",IF(LOOKUP(AC18,BoonRef!A$2:A$430,BoonRef!N$2:N$430)="None","-",LOOKUP(AC18,BoonRef!A$2:A$430,BoonRef!N$2:N$430)))</f>
        <v>-</v>
      </c>
      <c r="AN18" s="356"/>
      <c r="AO18" s="356"/>
      <c r="AP18" s="356"/>
      <c r="AQ18" s="356"/>
      <c r="AR18" s="356"/>
      <c r="AS18" s="356"/>
      <c r="AT18" s="356"/>
      <c r="AU18" s="356"/>
      <c r="AV18" s="357"/>
      <c r="AW18" s="362"/>
      <c r="AX18" s="363"/>
      <c r="AY18" s="363"/>
      <c r="AZ18" s="363"/>
      <c r="BA18" s="356" t="str">
        <f>IF(AW18="Custom1",DB$4,IF(AW18="Custom2",DB$5,IF(AW18="Custom3",DB$6,IF(AW18="Custom4",DB$7,IF(AW18="Custom5",DB$8,IF(AW18="Custom6",DB$9,IF(AW18="Custom7",DB$10,IF(AW18="Custom8",DB$11,IF(AW18="Custom9",DB$12,IF(AW18="Custom10",DB$13,IF(AW18="","",LOOKUP(AW18,ArmoryRef!$A$2:$A$116,ArmoryRef!$B$2:$B$116))))))))))))</f>
        <v/>
      </c>
      <c r="BB18" s="356"/>
      <c r="BC18" s="272">
        <f>IF(AW18="Custom1",DD$4,IF(AW18="Custom2",DD$5,IF(AW18="Custom3",DD$6,IF(AW18="Custom4",DD$7,IF(AW18="Custom5",DD$8,IF(AW18="Custom6",DD$9,IF(AW18="Custom7",DD$10,IF(AW18="Custom8",DD$11,IF(AW18="Custom9",DD$12,IF(AW18="Custom10",DD$13,IF(AW18="","0",LOOKUP(AW18,ArmoryRef!$A$2:$A$116,ArmoryRef!$J$2:$J$116))))))))))))+IF(BO18="","0",BO18)</f>
        <v>0</v>
      </c>
      <c r="BD18" s="272">
        <f>IF(AW18="","0",IF(OR(AW18=$CS$4,AW18=$CS$5,AW18=$CS$6,AW18=$CS$7,AW18=$CS$8,AW18=$CS$9,AW18=$CS$10,AW18=$CS$10,AW18=$CS$11,$CS$12=AW18,AW18=$CS$13),LOOKUP(AW18,$CS$4:$CU$13,$DQ$4:$DQ$13),LOOKUP(AW18,ArmoryRef!$A$2:$A$116,ArmoryRef!$D$2:$D$116)))+IF(BQ18="","0",BQ18)</f>
        <v>0</v>
      </c>
      <c r="BE18" s="272" t="s">
        <v>98</v>
      </c>
      <c r="BF18" s="272" t="str">
        <f t="shared" ref="BF18:BF21" si="6">IF(AW18="","",$G$7)</f>
        <v/>
      </c>
      <c r="BG18" s="272">
        <f>IF(AW18="","0",IF(OR(AW18=$CS$4,AW18=$CS$5,AW18=$CS$6,AW18=$CS$7,AW18=$CS$8,AW18=$CS$9,AW18=$CS$10,AW18=$CS$10,AW18=$CS$11,$CS$12=AW18,AW18=$CS$13),LOOKUP(AW18,$CS$4:$CU$13,$DR$4:$DR$13),LOOKUP(AW18,ArmoryRef!$A$2:$A$116,ArmoryRef!$F$2:$F$116)))+IF(BS18="","0",BS18)</f>
        <v>0</v>
      </c>
      <c r="BH18" s="272" t="s">
        <v>98</v>
      </c>
      <c r="BI18" s="272" t="str">
        <f t="shared" ref="BI18:BI21" si="7">IF(AW18="","",IF(OR(BA18="melee",BA18="brawl"),$G$6,0))</f>
        <v/>
      </c>
      <c r="BJ18" s="272" t="str">
        <f>IF(AW18="Custom1",DK$4,IF(AW18="Custom2",DK$5,IF(AW18="Custom3",DK$6,IF(AW18="Custom4",DK$7,IF(AW18="Custom5",DK$8,IF(AW18="Custom6",DK$9,IF(AW18="Custom7",DK$10,IF(AW18="Custom8",DK$11,IF(AW18="Custom9",DK$12,IF(AW18="Custom10",DK$13,IF(AW18="","",LOOKUP(AW18,ArmoryRef!$A$2:$A$116,ArmoryRef!$G$2:$G$116))))))))))))</f>
        <v/>
      </c>
      <c r="BK18" s="272" t="str">
        <f>IF(AW18="","",IF(OR(BA18="Marks",BA18="Thrown",AW18="Clinch"),"--",IF(OR(AW18=$CS$4,AW18=$CS$5,AW18=$CS$6,AW18=$CS$7,AW18=$CS$8,AW18=$CS$9,AW18=$CS$10,AW18=$CS$10,AW18=$CS$11,$CS$12=AW18,AW18=$CS$13),LOOKUP(AW18,$CS$4:$CU$13,$DS$4:$DS$13),LOOKUP(AW18,ArmoryRef!$A$2:$A$116,ArmoryRef!$I$2:$I$116))+IF(AW18="","",IF(BP18="","0",BP18))))</f>
        <v/>
      </c>
      <c r="BL18" s="356" t="str">
        <f>IF(AW18="Custom1",DN$4,IF(AW18="Custom2",DN$5,IF(AW18="Custom3",DN$6,IF(AW18="Custom4",DN$7,IF(AW18="Custom5",DN$8,IF(AW18="Custom6",DN$9,IF(AW18="Custom7",DN$10,IF(AW18="Custom8",DN$11,IF(AW18="Custom9",DN$12,IF(AW18="Custom10",DN$13,IF(AW18="","",LOOKUP(AW18,ArmoryRef!$A$2:$A$116,ArmoryRef!$K$2:$K$116))))))))))))</f>
        <v/>
      </c>
      <c r="BM18" s="356"/>
      <c r="BN18" s="272" t="str">
        <f>IF(AW18="Custom1",DP$4,IF(AW18="Custom2",DP$5,IF(AW18="Custom3",DP$6,IF(AW18="Custom4",DP$7,IF(AW18="Custom5",DP$8,IF(AW18="Custom6",DP$9,IF(AW18="Custom7",DP$10,IF(AW18="Custom8",DP$11,IF(AW18="Custom9",DP$12,IF(AW18="Custom10",DP$13,IF(AW18="","",LOOKUP(AW18,ArmoryRef!$A$2:$A$116,ArmoryRef!$L$2:$L$116))))))))))))</f>
        <v/>
      </c>
      <c r="BO18" s="273"/>
      <c r="BP18" s="273"/>
      <c r="BQ18" s="363"/>
      <c r="BR18" s="363"/>
      <c r="BS18" s="363"/>
      <c r="BT18" s="369"/>
      <c r="BU18" s="380" t="s">
        <v>955</v>
      </c>
      <c r="BV18" s="381"/>
      <c r="BW18" s="381"/>
      <c r="BX18" s="381"/>
      <c r="BY18" s="381"/>
      <c r="BZ18" s="381"/>
      <c r="CA18" s="381"/>
      <c r="CB18" s="381"/>
      <c r="CC18" s="381"/>
      <c r="CD18" s="381"/>
      <c r="CE18" s="381"/>
      <c r="CF18" s="381"/>
      <c r="CG18" s="381"/>
      <c r="CH18" s="381"/>
      <c r="CI18" s="381"/>
      <c r="CJ18" s="381"/>
      <c r="CK18" s="381"/>
      <c r="CL18" s="381"/>
      <c r="CM18" s="381"/>
      <c r="CN18" s="381"/>
      <c r="CO18" s="381"/>
      <c r="CP18" s="381"/>
      <c r="CQ18" s="381"/>
      <c r="CR18" s="382"/>
      <c r="CS18" s="373" t="s">
        <v>133</v>
      </c>
      <c r="CT18" s="374"/>
      <c r="CU18" s="374"/>
      <c r="CV18" s="374"/>
      <c r="CW18" s="374"/>
      <c r="CX18" s="374"/>
      <c r="CY18" s="374"/>
      <c r="CZ18" s="374"/>
      <c r="DA18" s="374"/>
      <c r="DB18" s="374"/>
      <c r="DC18" s="374"/>
      <c r="DD18" s="374"/>
      <c r="DE18" s="374"/>
      <c r="DF18" s="374"/>
      <c r="DG18" s="374"/>
      <c r="DH18" s="375"/>
      <c r="DI18" s="392" t="s">
        <v>907</v>
      </c>
      <c r="DJ18" s="391"/>
      <c r="DK18" s="391"/>
      <c r="DL18" s="391"/>
      <c r="DM18" s="391"/>
      <c r="DN18" s="391"/>
      <c r="DO18" s="391"/>
      <c r="DP18" s="409"/>
      <c r="DQ18" s="28" t="s">
        <v>929</v>
      </c>
      <c r="DR18" s="28" t="s">
        <v>930</v>
      </c>
    </row>
    <row r="19" spans="1:122" ht="15.75" customHeight="1" thickBot="1" x14ac:dyDescent="0.3">
      <c r="A19" s="406" t="s">
        <v>42</v>
      </c>
      <c r="B19" s="407"/>
      <c r="C19" s="407"/>
      <c r="D19" s="407"/>
      <c r="E19" s="403">
        <f>SUM(DotTracking!T16:X16,DotTracking!AR16:AV16,DotTracking!BP16:BT16,DotTracking!CN16:CR16,DotTracking!DL16:DP16,DotTracking!ES14:EW14,DotTracking!FB14:FF14,DotTracking!FK14:FO14,DotTracking!FT14:FX14,DotTracking!GC14:GG14)</f>
        <v>0</v>
      </c>
      <c r="F19" s="403"/>
      <c r="G19" s="359"/>
      <c r="H19" s="410"/>
      <c r="I19" s="406" t="s">
        <v>52</v>
      </c>
      <c r="J19" s="407"/>
      <c r="K19" s="407"/>
      <c r="L19" s="407"/>
      <c r="M19" s="403">
        <f>SUM(DotTracking!T26:X26,DotTracking!AR26:AV26,DotTracking!BP26:BT26,DotTracking!CN26:CR26,DotTracking!DL26:DP26,DotTracking!ES24:EW24,DotTracking!FB24:FF24,DotTracking!FK24:FO24,DotTracking!FT24:FX24,DotTracking!GC24:GG24)</f>
        <v>0</v>
      </c>
      <c r="N19" s="403"/>
      <c r="O19" s="359"/>
      <c r="P19" s="410"/>
      <c r="Q19" s="411" t="s">
        <v>536</v>
      </c>
      <c r="R19" s="412"/>
      <c r="S19" s="412"/>
      <c r="T19" s="412"/>
      <c r="U19" s="403">
        <f>SUM(DotTracking!T36:X36,DotTracking!AR36:AV36,DotTracking!BP36:BT36,DotTracking!CN36:CR36,DotTracking!DL36:DP36,DotTracking!ES34:EW34,DotTracking!FB34:FF34,DotTracking!FK34:FO34,DotTracking!FT34:FX34,DotTracking!GC34:GG34)</f>
        <v>0</v>
      </c>
      <c r="V19" s="403"/>
      <c r="W19" s="359"/>
      <c r="X19" s="413"/>
      <c r="Y19" s="358"/>
      <c r="Z19" s="359"/>
      <c r="AA19" s="359"/>
      <c r="AB19" s="359"/>
      <c r="AC19" s="359"/>
      <c r="AD19" s="359"/>
      <c r="AE19" s="359"/>
      <c r="AF19" s="359"/>
      <c r="AG19" s="359"/>
      <c r="AH19" s="359"/>
      <c r="AI19" s="359"/>
      <c r="AJ19" s="261" t="str">
        <f>IF(AC19="","-",IF(LOOKUP(AC19,BoonRef!A$2:A$430,BoonRef!I$2:I$430)="None","-",LOOKUP(AC19,BoonRef!A$2:A$430,BoonRef!I$2:I$430)))</f>
        <v>-</v>
      </c>
      <c r="AK19" s="261" t="s">
        <v>98</v>
      </c>
      <c r="AL19" s="261" t="str">
        <f>IF(AC19="","-",IF(LOOKUP(AC19,BoonRef!A$2:A$430,BoonRef!M$2:M$430)=0,"-",LOOKUP(AC19,BoonRef!A$2:A$430,BoonRef!M$2:M$430)))</f>
        <v>-</v>
      </c>
      <c r="AM19" s="356" t="str">
        <f>IF(AC19="","-",IF(LOOKUP(AC19,BoonRef!A$2:A$430,BoonRef!N$2:N$430)="None","-",LOOKUP(AC19,BoonRef!A$2:A$430,BoonRef!N$2:N$430)))</f>
        <v>-</v>
      </c>
      <c r="AN19" s="356"/>
      <c r="AO19" s="356"/>
      <c r="AP19" s="356"/>
      <c r="AQ19" s="356"/>
      <c r="AR19" s="356"/>
      <c r="AS19" s="356"/>
      <c r="AT19" s="356"/>
      <c r="AU19" s="356"/>
      <c r="AV19" s="357"/>
      <c r="AW19" s="362"/>
      <c r="AX19" s="363"/>
      <c r="AY19" s="363"/>
      <c r="AZ19" s="363"/>
      <c r="BA19" s="356" t="str">
        <f>IF(AW19="Custom1",DB$4,IF(AW19="Custom2",DB$5,IF(AW19="Custom3",DB$6,IF(AW19="Custom4",DB$7,IF(AW19="Custom5",DB$8,IF(AW19="Custom6",DB$9,IF(AW19="Custom7",DB$10,IF(AW19="Custom8",DB$11,IF(AW19="Custom9",DB$12,IF(AW19="Custom10",DB$13,IF(AW19="","",LOOKUP(AW19,ArmoryRef!$A$2:$A$116,ArmoryRef!$B$2:$B$116))))))))))))</f>
        <v/>
      </c>
      <c r="BB19" s="356"/>
      <c r="BC19" s="272">
        <f>IF(AW19="Custom1",DD$4,IF(AW19="Custom2",DD$5,IF(AW19="Custom3",DD$6,IF(AW19="Custom4",DD$7,IF(AW19="Custom5",DD$8,IF(AW19="Custom6",DD$9,IF(AW19="Custom7",DD$10,IF(AW19="Custom8",DD$11,IF(AW19="Custom9",DD$12,IF(AW19="Custom10",DD$13,IF(AW19="","0",LOOKUP(AW19,ArmoryRef!$A$2:$A$116,ArmoryRef!$J$2:$J$116))))))))))))+IF(BO19="","0",BO19)</f>
        <v>0</v>
      </c>
      <c r="BD19" s="272">
        <f>IF(AW19="","0",IF(OR(AW19=$CS$4,AW19=$CS$5,AW19=$CS$6,AW19=$CS$7,AW19=$CS$8,AW19=$CS$9,AW19=$CS$10,AW19=$CS$10,AW19=$CS$11,$CS$12=AW19,AW19=$CS$13),LOOKUP(AW19,$CS$4:$CU$13,$DQ$4:$DQ$13),LOOKUP(AW19,ArmoryRef!$A$2:$A$116,ArmoryRef!$D$2:$D$116)))+IF(BQ19="","0",BQ19)</f>
        <v>0</v>
      </c>
      <c r="BE19" s="272" t="s">
        <v>98</v>
      </c>
      <c r="BF19" s="272" t="str">
        <f t="shared" si="6"/>
        <v/>
      </c>
      <c r="BG19" s="272">
        <f>IF(AW19="","0",IF(OR(AW19=$CS$4,AW19=$CS$5,AW19=$CS$6,AW19=$CS$7,AW19=$CS$8,AW19=$CS$9,AW19=$CS$10,AW19=$CS$10,AW19=$CS$11,$CS$12=AW19,AW19=$CS$13),LOOKUP(AW19,$CS$4:$CU$13,$DR$4:$DR$13),LOOKUP(AW19,ArmoryRef!$A$2:$A$116,ArmoryRef!$F$2:$F$116)))+IF(BS19="","0",BS19)</f>
        <v>0</v>
      </c>
      <c r="BH19" s="272" t="s">
        <v>98</v>
      </c>
      <c r="BI19" s="272" t="str">
        <f t="shared" si="7"/>
        <v/>
      </c>
      <c r="BJ19" s="272" t="str">
        <f>IF(AW19="Custom1",DK$4,IF(AW19="Custom2",DK$5,IF(AW19="Custom3",DK$6,IF(AW19="Custom4",DK$7,IF(AW19="Custom5",DK$8,IF(AW19="Custom6",DK$9,IF(AW19="Custom7",DK$10,IF(AW19="Custom8",DK$11,IF(AW19="Custom9",DK$12,IF(AW19="Custom10",DK$13,IF(AW19="","",LOOKUP(AW19,ArmoryRef!$A$2:$A$116,ArmoryRef!$G$2:$G$116))))))))))))</f>
        <v/>
      </c>
      <c r="BK19" s="272" t="str">
        <f>IF(AW19="","",IF(OR(BA19="Marks",BA19="Thrown",AW19="Clinch"),"--",IF(OR(AW19=$CS$4,AW19=$CS$5,AW19=$CS$6,AW19=$CS$7,AW19=$CS$8,AW19=$CS$9,AW19=$CS$10,AW19=$CS$10,AW19=$CS$11,$CS$12=AW19,AW19=$CS$13),LOOKUP(AW19,$CS$4:$CU$13,$DS$4:$DS$13),LOOKUP(AW19,ArmoryRef!$A$2:$A$116,ArmoryRef!$I$2:$I$116))+IF(AW19="","",IF(BP19="","0",BP19))))</f>
        <v/>
      </c>
      <c r="BL19" s="356" t="str">
        <f>IF(AW19="Custom1",DN$4,IF(AW19="Custom2",DN$5,IF(AW19="Custom3",DN$6,IF(AW19="Custom4",DN$7,IF(AW19="Custom5",DN$8,IF(AW19="Custom6",DN$9,IF(AW19="Custom7",DN$10,IF(AW19="Custom8",DN$11,IF(AW19="Custom9",DN$12,IF(AW19="Custom10",DN$13,IF(AW19="","",LOOKUP(AW19,ArmoryRef!$A$2:$A$116,ArmoryRef!$K$2:$K$116))))))))))))</f>
        <v/>
      </c>
      <c r="BM19" s="356"/>
      <c r="BN19" s="272" t="str">
        <f>IF(AW19="Custom1",DP$4,IF(AW19="Custom2",DP$5,IF(AW19="Custom3",DP$6,IF(AW19="Custom4",DP$7,IF(AW19="Custom5",DP$8,IF(AW19="Custom6",DP$9,IF(AW19="Custom7",DP$10,IF(AW19="Custom8",DP$11,IF(AW19="Custom9",DP$12,IF(AW19="Custom10",DP$13,IF(AW19="","",LOOKUP(AW19,ArmoryRef!$A$2:$A$116,ArmoryRef!$L$2:$L$116))))))))))))</f>
        <v/>
      </c>
      <c r="BO19" s="273"/>
      <c r="BP19" s="273"/>
      <c r="BQ19" s="363"/>
      <c r="BR19" s="363"/>
      <c r="BS19" s="363"/>
      <c r="BT19" s="369"/>
      <c r="BU19" s="383"/>
      <c r="BV19" s="384"/>
      <c r="BW19" s="384"/>
      <c r="BX19" s="384"/>
      <c r="BY19" s="384"/>
      <c r="BZ19" s="384"/>
      <c r="CA19" s="384"/>
      <c r="CB19" s="384"/>
      <c r="CC19" s="384"/>
      <c r="CD19" s="384"/>
      <c r="CE19" s="384"/>
      <c r="CF19" s="384"/>
      <c r="CG19" s="384"/>
      <c r="CH19" s="384"/>
      <c r="CI19" s="384"/>
      <c r="CJ19" s="384"/>
      <c r="CK19" s="384"/>
      <c r="CL19" s="384"/>
      <c r="CM19" s="384"/>
      <c r="CN19" s="384"/>
      <c r="CO19" s="384"/>
      <c r="CP19" s="384"/>
      <c r="CQ19" s="384"/>
      <c r="CR19" s="385"/>
      <c r="CS19" s="376"/>
      <c r="CT19" s="377"/>
      <c r="CU19" s="377"/>
      <c r="CV19" s="377"/>
      <c r="CW19" s="377"/>
      <c r="CX19" s="377"/>
      <c r="CY19" s="377"/>
      <c r="CZ19" s="377"/>
      <c r="DA19" s="377"/>
      <c r="DB19" s="377"/>
      <c r="DC19" s="377"/>
      <c r="DD19" s="377"/>
      <c r="DE19" s="377"/>
      <c r="DF19" s="377"/>
      <c r="DG19" s="377"/>
      <c r="DH19" s="418"/>
      <c r="DI19" s="396"/>
      <c r="DJ19" s="395"/>
      <c r="DK19" s="395"/>
      <c r="DL19" s="395"/>
      <c r="DM19" s="395"/>
      <c r="DN19" s="395"/>
      <c r="DO19" s="395"/>
      <c r="DP19" s="475"/>
      <c r="DQ19" s="28">
        <f>IF(E6+E14+G14&gt;20,4500+(E6+E14+G14-20)*500,LOOKUP(E6+E14+G14,Reference!B2:B21,Reference!C2:C21))</f>
        <v>40</v>
      </c>
      <c r="DR19" s="28">
        <f>LOOKUP(F6,Reference!H2:H12,Reference!I2:I12)</f>
        <v>0</v>
      </c>
    </row>
    <row r="20" spans="1:122" x14ac:dyDescent="0.25">
      <c r="A20" s="406" t="s">
        <v>43</v>
      </c>
      <c r="B20" s="407"/>
      <c r="C20" s="407"/>
      <c r="D20" s="407"/>
      <c r="E20" s="403">
        <f>SUM(DotTracking!T17:X17,DotTracking!AR17:AV17,DotTracking!BP17:BT17,DotTracking!CN17:CR17,DotTracking!DL17:DP17,DotTracking!ES15:EW15,DotTracking!FB15:FF15,DotTracking!FK15:FO15,DotTracking!FT15:FX15,DotTracking!GC15:GG15)</f>
        <v>0</v>
      </c>
      <c r="F20" s="403"/>
      <c r="G20" s="359"/>
      <c r="H20" s="410"/>
      <c r="I20" s="406" t="s">
        <v>53</v>
      </c>
      <c r="J20" s="407"/>
      <c r="K20" s="407"/>
      <c r="L20" s="407"/>
      <c r="M20" s="403">
        <f>SUM(DotTracking!T27:X27,DotTracking!AR27:AV27,DotTracking!BP27:BT27,DotTracking!CN27:CR27,DotTracking!DL27:DP27,DotTracking!ES25:EW25,DotTracking!FB25:FF25,DotTracking!FK25:FO25,DotTracking!FT25:FX25,DotTracking!GC25:GG25)</f>
        <v>0</v>
      </c>
      <c r="N20" s="403"/>
      <c r="O20" s="359"/>
      <c r="P20" s="410"/>
      <c r="Q20" s="411" t="s">
        <v>536</v>
      </c>
      <c r="R20" s="412"/>
      <c r="S20" s="412"/>
      <c r="T20" s="412"/>
      <c r="U20" s="403">
        <f>SUM(DotTracking!T37:X37,DotTracking!AR37:AV37,DotTracking!BP37:BT37,DotTracking!CN37:CR37,DotTracking!DL37:DP37,DotTracking!ES35:EW35,DotTracking!FB35:FF35,DotTracking!FK35:FO35,DotTracking!FT35:FX35,DotTracking!GC35:GG35)</f>
        <v>0</v>
      </c>
      <c r="V20" s="403"/>
      <c r="W20" s="359"/>
      <c r="X20" s="413"/>
      <c r="Y20" s="358"/>
      <c r="Z20" s="359"/>
      <c r="AA20" s="359"/>
      <c r="AB20" s="359"/>
      <c r="AC20" s="359"/>
      <c r="AD20" s="359"/>
      <c r="AE20" s="359"/>
      <c r="AF20" s="359"/>
      <c r="AG20" s="359"/>
      <c r="AH20" s="359"/>
      <c r="AI20" s="359"/>
      <c r="AJ20" s="261" t="str">
        <f>IF(AC20="","-",IF(LOOKUP(AC20,BoonRef!A$2:A$430,BoonRef!I$2:I$430)="None","-",LOOKUP(AC20,BoonRef!A$2:A$430,BoonRef!I$2:I$430)))</f>
        <v>-</v>
      </c>
      <c r="AK20" s="261" t="s">
        <v>98</v>
      </c>
      <c r="AL20" s="261" t="str">
        <f>IF(AC20="","-",IF(LOOKUP(AC20,BoonRef!A$2:A$430,BoonRef!M$2:M$430)=0,"-",LOOKUP(AC20,BoonRef!A$2:A$430,BoonRef!M$2:M$430)))</f>
        <v>-</v>
      </c>
      <c r="AM20" s="356" t="str">
        <f>IF(AC20="","-",IF(LOOKUP(AC20,BoonRef!A$2:A$430,BoonRef!N$2:N$430)="None","-",LOOKUP(AC20,BoonRef!A$2:A$430,BoonRef!N$2:N$430)))</f>
        <v>-</v>
      </c>
      <c r="AN20" s="356"/>
      <c r="AO20" s="356"/>
      <c r="AP20" s="356"/>
      <c r="AQ20" s="356"/>
      <c r="AR20" s="356"/>
      <c r="AS20" s="356"/>
      <c r="AT20" s="356"/>
      <c r="AU20" s="356"/>
      <c r="AV20" s="357"/>
      <c r="AW20" s="362"/>
      <c r="AX20" s="363"/>
      <c r="AY20" s="363"/>
      <c r="AZ20" s="363"/>
      <c r="BA20" s="356" t="str">
        <f>IF(AW20="Custom1",DB$4,IF(AW20="Custom2",DB$5,IF(AW20="Custom3",DB$6,IF(AW20="Custom4",DB$7,IF(AW20="Custom5",DB$8,IF(AW20="Custom6",DB$9,IF(AW20="Custom7",DB$10,IF(AW20="Custom8",DB$11,IF(AW20="Custom9",DB$12,IF(AW20="Custom10",DB$13,IF(AW20="","",LOOKUP(AW20,ArmoryRef!$A$2:$A$116,ArmoryRef!$B$2:$B$116))))))))))))</f>
        <v/>
      </c>
      <c r="BB20" s="356"/>
      <c r="BC20" s="272">
        <f>IF(AW20="Custom1",DD$4,IF(AW20="Custom2",DD$5,IF(AW20="Custom3",DD$6,IF(AW20="Custom4",DD$7,IF(AW20="Custom5",DD$8,IF(AW20="Custom6",DD$9,IF(AW20="Custom7",DD$10,IF(AW20="Custom8",DD$11,IF(AW20="Custom9",DD$12,IF(AW20="Custom10",DD$13,IF(AW20="","0",LOOKUP(AW20,ArmoryRef!$A$2:$A$116,ArmoryRef!$J$2:$J$116))))))))))))+IF(BO20="","0",BO20)</f>
        <v>0</v>
      </c>
      <c r="BD20" s="272">
        <f>IF(AW20="","0",IF(OR(AW20=$CS$4,AW20=$CS$5,AW20=$CS$6,AW20=$CS$7,AW20=$CS$8,AW20=$CS$9,AW20=$CS$10,AW20=$CS$10,AW20=$CS$11,$CS$12=AW20,AW20=$CS$13),LOOKUP(AW20,$CS$4:$CU$13,$DQ$4:$DQ$13),LOOKUP(AW20,ArmoryRef!$A$2:$A$116,ArmoryRef!$D$2:$D$116)))+IF(BQ20="","0",BQ20)</f>
        <v>0</v>
      </c>
      <c r="BE20" s="272" t="s">
        <v>98</v>
      </c>
      <c r="BF20" s="272" t="str">
        <f t="shared" si="6"/>
        <v/>
      </c>
      <c r="BG20" s="272">
        <f>IF(AW20="","0",IF(OR(AW20=$CS$4,AW20=$CS$5,AW20=$CS$6,AW20=$CS$7,AW20=$CS$8,AW20=$CS$9,AW20=$CS$10,AW20=$CS$10,AW20=$CS$11,$CS$12=AW20,AW20=$CS$13),LOOKUP(AW20,$CS$4:$CU$13,$DR$4:$DR$13),LOOKUP(AW20,ArmoryRef!$A$2:$A$116,ArmoryRef!$F$2:$F$116)))+IF(BS20="","0",BS20)</f>
        <v>0</v>
      </c>
      <c r="BH20" s="272" t="s">
        <v>98</v>
      </c>
      <c r="BI20" s="272" t="str">
        <f t="shared" si="7"/>
        <v/>
      </c>
      <c r="BJ20" s="272" t="str">
        <f>IF(AW20="Custom1",DK$4,IF(AW20="Custom2",DK$5,IF(AW20="Custom3",DK$6,IF(AW20="Custom4",DK$7,IF(AW20="Custom5",DK$8,IF(AW20="Custom6",DK$9,IF(AW20="Custom7",DK$10,IF(AW20="Custom8",DK$11,IF(AW20="Custom9",DK$12,IF(AW20="Custom10",DK$13,IF(AW20="","",LOOKUP(AW20,ArmoryRef!$A$2:$A$116,ArmoryRef!$G$2:$G$116))))))))))))</f>
        <v/>
      </c>
      <c r="BK20" s="272" t="str">
        <f>IF(AW20="","",IF(OR(BA20="Marks",BA20="Thrown",AW20="Clinch"),"--",IF(OR(AW20=$CS$4,AW20=$CS$5,AW20=$CS$6,AW20=$CS$7,AW20=$CS$8,AW20=$CS$9,AW20=$CS$10,AW20=$CS$10,AW20=$CS$11,$CS$12=AW20,AW20=$CS$13),LOOKUP(AW20,$CS$4:$CU$13,$DS$4:$DS$13),LOOKUP(AW20,ArmoryRef!$A$2:$A$116,ArmoryRef!$I$2:$I$116))+IF(AW20="","",IF(BP20="","0",BP20))))</f>
        <v/>
      </c>
      <c r="BL20" s="356" t="str">
        <f>IF(AW20="Custom1",DN$4,IF(AW20="Custom2",DN$5,IF(AW20="Custom3",DN$6,IF(AW20="Custom4",DN$7,IF(AW20="Custom5",DN$8,IF(AW20="Custom6",DN$9,IF(AW20="Custom7",DN$10,IF(AW20="Custom8",DN$11,IF(AW20="Custom9",DN$12,IF(AW20="Custom10",DN$13,IF(AW20="","",LOOKUP(AW20,ArmoryRef!$A$2:$A$116,ArmoryRef!$K$2:$K$116))))))))))))</f>
        <v/>
      </c>
      <c r="BM20" s="356"/>
      <c r="BN20" s="272" t="str">
        <f>IF(AW20="Custom1",DP$4,IF(AW20="Custom2",DP$5,IF(AW20="Custom3",DP$6,IF(AW20="Custom4",DP$7,IF(AW20="Custom5",DP$8,IF(AW20="Custom6",DP$9,IF(AW20="Custom7",DP$10,IF(AW20="Custom8",DP$11,IF(AW20="Custom9",DP$12,IF(AW20="Custom10",DP$13,IF(AW20="","",LOOKUP(AW20,ArmoryRef!$A$2:$A$116,ArmoryRef!$L$2:$L$116))))))))))))</f>
        <v/>
      </c>
      <c r="BO20" s="273"/>
      <c r="BP20" s="273"/>
      <c r="BQ20" s="363"/>
      <c r="BR20" s="363"/>
      <c r="BS20" s="363"/>
      <c r="BT20" s="369"/>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1"/>
      <c r="CS20" s="476"/>
      <c r="CT20" s="361"/>
      <c r="CU20" s="361"/>
      <c r="CV20" s="361"/>
      <c r="CW20" s="361"/>
      <c r="CX20" s="361"/>
      <c r="CY20" s="361"/>
      <c r="CZ20" s="361"/>
      <c r="DA20" s="361"/>
      <c r="DB20" s="361"/>
      <c r="DC20" s="361"/>
      <c r="DD20" s="361"/>
      <c r="DE20" s="361"/>
      <c r="DF20" s="361"/>
      <c r="DG20" s="361"/>
      <c r="DH20" s="477"/>
      <c r="DI20" s="476"/>
      <c r="DJ20" s="361"/>
      <c r="DK20" s="361"/>
      <c r="DL20" s="361"/>
      <c r="DM20" s="361"/>
      <c r="DN20" s="361"/>
      <c r="DO20" s="361"/>
      <c r="DP20" s="477"/>
    </row>
    <row r="21" spans="1:122" ht="15.75" thickBot="1" x14ac:dyDescent="0.3">
      <c r="A21" s="408" t="s">
        <v>44</v>
      </c>
      <c r="B21" s="402"/>
      <c r="C21" s="402"/>
      <c r="D21" s="402"/>
      <c r="E21" s="414">
        <f>SUM(DotTracking!T18:X18,DotTracking!AR18:AV18,DotTracking!BP18:BT18,DotTracking!CN18:CR18,DotTracking!DL18:DP18,DotTracking!ES16:EW16,DotTracking!FB16:FF16,DotTracking!FK16:FO16,DotTracking!FT16:FX16,DotTracking!GC16:GG16)</f>
        <v>0</v>
      </c>
      <c r="F21" s="414"/>
      <c r="G21" s="415"/>
      <c r="H21" s="429"/>
      <c r="I21" s="408" t="s">
        <v>54</v>
      </c>
      <c r="J21" s="402"/>
      <c r="K21" s="402"/>
      <c r="L21" s="402"/>
      <c r="M21" s="414">
        <f>SUM(DotTracking!T28:X28,DotTracking!AR28:AV28,DotTracking!BP28:BT28,DotTracking!CN28:CR28,DotTracking!DL28:DP28,DotTracking!ES26:EW26,DotTracking!FB26:FF26,DotTracking!FK26:FO26,DotTracking!FT26:FX26,DotTracking!GC26:GG26)</f>
        <v>0</v>
      </c>
      <c r="N21" s="414"/>
      <c r="O21" s="415"/>
      <c r="P21" s="429"/>
      <c r="Q21" s="430" t="s">
        <v>536</v>
      </c>
      <c r="R21" s="431"/>
      <c r="S21" s="431"/>
      <c r="T21" s="431"/>
      <c r="U21" s="414">
        <f>SUM(DotTracking!T38:X38,DotTracking!AR38:AV38,DotTracking!BP38:BT38,DotTracking!CN38:CR38,DotTracking!DL38:DP38,DotTracking!ES36:EW36,DotTracking!FB36:FF36,DotTracking!FK36:FO36,DotTracking!FT36:FX36,DotTracking!GC36:GG36)</f>
        <v>0</v>
      </c>
      <c r="V21" s="414"/>
      <c r="W21" s="415"/>
      <c r="X21" s="416"/>
      <c r="Y21" s="358"/>
      <c r="Z21" s="359"/>
      <c r="AA21" s="359"/>
      <c r="AB21" s="359"/>
      <c r="AC21" s="359"/>
      <c r="AD21" s="359"/>
      <c r="AE21" s="359"/>
      <c r="AF21" s="359"/>
      <c r="AG21" s="359"/>
      <c r="AH21" s="359"/>
      <c r="AI21" s="359"/>
      <c r="AJ21" s="261" t="str">
        <f>IF(AC21="","-",IF(LOOKUP(AC21,BoonRef!A$2:A$430,BoonRef!I$2:I$430)="None","-",LOOKUP(AC21,BoonRef!A$2:A$430,BoonRef!I$2:I$430)))</f>
        <v>-</v>
      </c>
      <c r="AK21" s="261" t="s">
        <v>98</v>
      </c>
      <c r="AL21" s="261" t="str">
        <f>IF(AC21="","-",IF(LOOKUP(AC21,BoonRef!A$2:A$430,BoonRef!M$2:M$430)=0,"-",LOOKUP(AC21,BoonRef!A$2:A$430,BoonRef!M$2:M$430)))</f>
        <v>-</v>
      </c>
      <c r="AM21" s="356" t="str">
        <f>IF(AC21="","-",IF(LOOKUP(AC21,BoonRef!A$2:A$430,BoonRef!N$2:N$430)="None","-",LOOKUP(AC21,BoonRef!A$2:A$430,BoonRef!N$2:N$430)))</f>
        <v>-</v>
      </c>
      <c r="AN21" s="356"/>
      <c r="AO21" s="356"/>
      <c r="AP21" s="356"/>
      <c r="AQ21" s="356"/>
      <c r="AR21" s="356"/>
      <c r="AS21" s="356"/>
      <c r="AT21" s="356"/>
      <c r="AU21" s="356"/>
      <c r="AV21" s="357"/>
      <c r="AW21" s="368"/>
      <c r="AX21" s="366"/>
      <c r="AY21" s="366"/>
      <c r="AZ21" s="366"/>
      <c r="BA21" s="434" t="str">
        <f>IF(AW21="Custom1",DB$4,IF(AW21="Custom2",DB$5,IF(AW21="Custom3",DB$6,IF(AW21="Custom4",DB$7,IF(AW21="Custom5",DB$8,IF(AW21="Custom6",DB$9,IF(AW21="Custom7",DB$10,IF(AW21="Custom8",DB$11,IF(AW21="Custom9",DB$12,IF(AW21="Custom10",DB$13,IF(AW21="","",LOOKUP(AW21,ArmoryRef!$A$2:$A$116,ArmoryRef!$B$2:$B$116))))))))))))</f>
        <v/>
      </c>
      <c r="BB21" s="434"/>
      <c r="BC21" s="276">
        <f>IF(AW21="Custom1",DD$4,IF(AW21="Custom2",DD$5,IF(AW21="Custom3",DD$6,IF(AW21="Custom4",DD$7,IF(AW21="Custom5",DD$8,IF(AW21="Custom6",DD$9,IF(AW21="Custom7",DD$10,IF(AW21="Custom8",DD$11,IF(AW21="Custom9",DD$12,IF(AW21="Custom10",DD$13,IF(AW21="","0",LOOKUP(AW21,ArmoryRef!$A$2:$A$116,ArmoryRef!$J$2:$J$116))))))))))))+IF(BO21="","0",BO21)</f>
        <v>0</v>
      </c>
      <c r="BD21" s="276">
        <f>IF(AW21="","0",IF(OR(AW21=$CS$4,AW21=$CS$5,AW21=$CS$6,AW21=$CS$7,AW21=$CS$8,AW21=$CS$9,AW21=$CS$10,AW21=$CS$10,AW21=$CS$11,$CS$12=AW21,AW21=$CS$13),LOOKUP(AW21,$CS$4:$CU$13,$DQ$4:$DQ$13),LOOKUP(AW21,ArmoryRef!$A$2:$A$116,ArmoryRef!$D$2:$D$116)))+IF(BQ21="","0",BQ21)</f>
        <v>0</v>
      </c>
      <c r="BE21" s="276" t="s">
        <v>98</v>
      </c>
      <c r="BF21" s="276" t="str">
        <f t="shared" si="6"/>
        <v/>
      </c>
      <c r="BG21" s="276">
        <f>IF(AW21="","0",IF(OR(AW21=$CS$4,AW21=$CS$5,AW21=$CS$6,AW21=$CS$7,AW21=$CS$8,AW21=$CS$9,AW21=$CS$10,AW21=$CS$10,AW21=$CS$11,$CS$12=AW21,AW21=$CS$13),LOOKUP(AW21,$CS$4:$CU$13,$DR$4:$DR$13),LOOKUP(AW21,ArmoryRef!$A$2:$A$116,ArmoryRef!$F$2:$F$116)))+IF(BS21="","0",BS21)</f>
        <v>0</v>
      </c>
      <c r="BH21" s="276" t="s">
        <v>98</v>
      </c>
      <c r="BI21" s="276" t="str">
        <f t="shared" si="7"/>
        <v/>
      </c>
      <c r="BJ21" s="276" t="str">
        <f>IF(AW21="Custom1",DK$4,IF(AW21="Custom2",DK$5,IF(AW21="Custom3",DK$6,IF(AW21="Custom4",DK$7,IF(AW21="Custom5",DK$8,IF(AW21="Custom6",DK$9,IF(AW21="Custom7",DK$10,IF(AW21="Custom8",DK$11,IF(AW21="Custom9",DK$12,IF(AW21="Custom10",DK$13,IF(AW21="","",LOOKUP(AW21,ArmoryRef!$A$2:$A$116,ArmoryRef!$G$2:$G$116))))))))))))</f>
        <v/>
      </c>
      <c r="BK21" s="272" t="str">
        <f>IF(AW21="","",IF(OR(BA21="Marks",BA21="Thrown",AW21="Clinch"),"--",IF(OR(AW21=$CS$4,AW21=$CS$5,AW21=$CS$6,AW21=$CS$7,AW21=$CS$8,AW21=$CS$9,AW21=$CS$10,AW21=$CS$10,AW21=$CS$11,$CS$12=AW21,AW21=$CS$13),LOOKUP(AW21,$CS$4:$CU$13,$DS$4:$DS$13),LOOKUP(AW21,ArmoryRef!$A$2:$A$116,ArmoryRef!$I$2:$I$116))+IF(AW21="","",IF(BP21="","0",BP21))))</f>
        <v/>
      </c>
      <c r="BL21" s="434" t="str">
        <f>IF(AW21="Custom1",DN$4,IF(AW21="Custom2",DN$5,IF(AW21="Custom3",DN$6,IF(AW21="Custom4",DN$7,IF(AW21="Custom5",DN$8,IF(AW21="Custom6",DN$9,IF(AW21="Custom7",DN$10,IF(AW21="Custom8",DN$11,IF(AW21="Custom9",DN$12,IF(AW21="Custom10",DN$13,IF(AW21="","",LOOKUP(AW21,ArmoryRef!$A$2:$A$116,ArmoryRef!$K$2:$K$116))))))))))))</f>
        <v/>
      </c>
      <c r="BM21" s="434"/>
      <c r="BN21" s="276" t="str">
        <f>IF(AW21="Custom1",DP$4,IF(AW21="Custom2",DP$5,IF(AW21="Custom3",DP$6,IF(AW21="Custom4",DP$7,IF(AW21="Custom5",DP$8,IF(AW21="Custom6",DP$9,IF(AW21="Custom7",DP$10,IF(AW21="Custom8",DP$11,IF(AW21="Custom9",DP$12,IF(AW21="Custom10",DP$13,IF(AW21="","",LOOKUP(AW21,ArmoryRef!$A$2:$A$116,ArmoryRef!$L$2:$L$116))))))))))))</f>
        <v/>
      </c>
      <c r="BO21" s="274"/>
      <c r="BP21" s="274"/>
      <c r="BQ21" s="366"/>
      <c r="BR21" s="366"/>
      <c r="BS21" s="366"/>
      <c r="BT21" s="372"/>
      <c r="BU21" s="352"/>
      <c r="BV21" s="352"/>
      <c r="BW21" s="352"/>
      <c r="BX21" s="352"/>
      <c r="BY21" s="352"/>
      <c r="BZ21" s="352"/>
      <c r="CA21" s="352"/>
      <c r="CB21" s="352"/>
      <c r="CC21" s="352"/>
      <c r="CD21" s="352"/>
      <c r="CE21" s="352"/>
      <c r="CF21" s="352"/>
      <c r="CG21" s="352"/>
      <c r="CH21" s="352"/>
      <c r="CI21" s="352"/>
      <c r="CJ21" s="352"/>
      <c r="CK21" s="352"/>
      <c r="CL21" s="352"/>
      <c r="CM21" s="352"/>
      <c r="CN21" s="352"/>
      <c r="CO21" s="352"/>
      <c r="CP21" s="352"/>
      <c r="CQ21" s="352"/>
      <c r="CR21" s="353"/>
      <c r="CS21" s="358"/>
      <c r="CT21" s="359"/>
      <c r="CU21" s="359"/>
      <c r="CV21" s="359"/>
      <c r="CW21" s="359"/>
      <c r="CX21" s="359"/>
      <c r="CY21" s="359"/>
      <c r="CZ21" s="359"/>
      <c r="DA21" s="359"/>
      <c r="DB21" s="359"/>
      <c r="DC21" s="359"/>
      <c r="DD21" s="359"/>
      <c r="DE21" s="359"/>
      <c r="DF21" s="359"/>
      <c r="DG21" s="359"/>
      <c r="DH21" s="410"/>
      <c r="DI21" s="358"/>
      <c r="DJ21" s="359"/>
      <c r="DK21" s="359"/>
      <c r="DL21" s="359"/>
      <c r="DM21" s="359"/>
      <c r="DN21" s="359"/>
      <c r="DO21" s="359"/>
      <c r="DP21" s="410"/>
    </row>
    <row r="22" spans="1:122" x14ac:dyDescent="0.25">
      <c r="A22" s="373" t="s">
        <v>1805</v>
      </c>
      <c r="B22" s="374"/>
      <c r="C22" s="374"/>
      <c r="D22" s="374"/>
      <c r="E22" s="374"/>
      <c r="F22" s="375"/>
      <c r="G22" s="373" t="s">
        <v>88</v>
      </c>
      <c r="H22" s="374"/>
      <c r="I22" s="374"/>
      <c r="J22" s="374"/>
      <c r="K22" s="374"/>
      <c r="L22" s="374"/>
      <c r="M22" s="374"/>
      <c r="N22" s="374"/>
      <c r="O22" s="374"/>
      <c r="P22" s="374"/>
      <c r="Q22" s="374"/>
      <c r="R22" s="375"/>
      <c r="S22" s="373" t="s">
        <v>1803</v>
      </c>
      <c r="T22" s="374"/>
      <c r="U22" s="374"/>
      <c r="V22" s="374"/>
      <c r="W22" s="374"/>
      <c r="X22" s="426"/>
      <c r="Y22" s="358"/>
      <c r="Z22" s="359"/>
      <c r="AA22" s="359"/>
      <c r="AB22" s="359"/>
      <c r="AC22" s="359"/>
      <c r="AD22" s="359"/>
      <c r="AE22" s="359"/>
      <c r="AF22" s="359"/>
      <c r="AG22" s="359"/>
      <c r="AH22" s="359"/>
      <c r="AI22" s="359"/>
      <c r="AJ22" s="261" t="str">
        <f>IF(AC22="","-",IF(LOOKUP(AC22,BoonRef!A$2:A$430,BoonRef!I$2:I$430)="None","-",LOOKUP(AC22,BoonRef!A$2:A$430,BoonRef!I$2:I$430)))</f>
        <v>-</v>
      </c>
      <c r="AK22" s="261" t="s">
        <v>98</v>
      </c>
      <c r="AL22" s="261" t="str">
        <f>IF(AC22="","-",IF(LOOKUP(AC22,BoonRef!A$2:A$430,BoonRef!M$2:M$430)=0,"-",LOOKUP(AC22,BoonRef!A$2:A$430,BoonRef!M$2:M$430)))</f>
        <v>-</v>
      </c>
      <c r="AM22" s="356" t="str">
        <f>IF(AC22="","-",IF(LOOKUP(AC22,BoonRef!A$2:A$430,BoonRef!N$2:N$430)="None","-",LOOKUP(AC22,BoonRef!A$2:A$430,BoonRef!N$2:N$430)))</f>
        <v>-</v>
      </c>
      <c r="AN22" s="356"/>
      <c r="AO22" s="356"/>
      <c r="AP22" s="356"/>
      <c r="AQ22" s="356"/>
      <c r="AR22" s="356"/>
      <c r="AS22" s="356"/>
      <c r="AT22" s="356"/>
      <c r="AU22" s="356"/>
      <c r="AV22" s="357"/>
      <c r="AW22" s="470" t="s">
        <v>74</v>
      </c>
      <c r="AX22" s="471"/>
      <c r="AY22" s="471"/>
      <c r="AZ22" s="471"/>
      <c r="BA22" s="471"/>
      <c r="BB22" s="471"/>
      <c r="BC22" s="471"/>
      <c r="BD22" s="471"/>
      <c r="BE22" s="471"/>
      <c r="BF22" s="471"/>
      <c r="BG22" s="471"/>
      <c r="BH22" s="471"/>
      <c r="BI22" s="471"/>
      <c r="BJ22" s="471"/>
      <c r="BK22" s="471"/>
      <c r="BL22" s="471"/>
      <c r="BM22" s="471"/>
      <c r="BN22" s="471"/>
      <c r="BO22" s="471"/>
      <c r="BP22" s="471"/>
      <c r="BQ22" s="471"/>
      <c r="BR22" s="471"/>
      <c r="BS22" s="471"/>
      <c r="BT22" s="520"/>
      <c r="BU22" s="352"/>
      <c r="BV22" s="352"/>
      <c r="BW22" s="352"/>
      <c r="BX22" s="352"/>
      <c r="BY22" s="352"/>
      <c r="BZ22" s="352"/>
      <c r="CA22" s="352"/>
      <c r="CB22" s="352"/>
      <c r="CC22" s="352"/>
      <c r="CD22" s="352"/>
      <c r="CE22" s="352"/>
      <c r="CF22" s="352"/>
      <c r="CG22" s="352"/>
      <c r="CH22" s="352"/>
      <c r="CI22" s="352"/>
      <c r="CJ22" s="352"/>
      <c r="CK22" s="352"/>
      <c r="CL22" s="352"/>
      <c r="CM22" s="352"/>
      <c r="CN22" s="352"/>
      <c r="CO22" s="352"/>
      <c r="CP22" s="352"/>
      <c r="CQ22" s="352"/>
      <c r="CR22" s="353"/>
      <c r="CS22" s="358"/>
      <c r="CT22" s="359"/>
      <c r="CU22" s="359"/>
      <c r="CV22" s="359"/>
      <c r="CW22" s="359"/>
      <c r="CX22" s="359"/>
      <c r="CY22" s="359"/>
      <c r="CZ22" s="359"/>
      <c r="DA22" s="359"/>
      <c r="DB22" s="359"/>
      <c r="DC22" s="359"/>
      <c r="DD22" s="359"/>
      <c r="DE22" s="359"/>
      <c r="DF22" s="359"/>
      <c r="DG22" s="359"/>
      <c r="DH22" s="410"/>
      <c r="DI22" s="358"/>
      <c r="DJ22" s="359"/>
      <c r="DK22" s="359"/>
      <c r="DL22" s="359"/>
      <c r="DM22" s="359"/>
      <c r="DN22" s="359"/>
      <c r="DO22" s="359"/>
      <c r="DP22" s="410"/>
    </row>
    <row r="23" spans="1:122" ht="15.75" thickBot="1" x14ac:dyDescent="0.3">
      <c r="A23" s="376"/>
      <c r="B23" s="377"/>
      <c r="C23" s="377"/>
      <c r="D23" s="377"/>
      <c r="E23" s="377"/>
      <c r="F23" s="418"/>
      <c r="G23" s="376"/>
      <c r="H23" s="377"/>
      <c r="I23" s="377"/>
      <c r="J23" s="377"/>
      <c r="K23" s="377"/>
      <c r="L23" s="377"/>
      <c r="M23" s="377"/>
      <c r="N23" s="377"/>
      <c r="O23" s="377"/>
      <c r="P23" s="377"/>
      <c r="Q23" s="377"/>
      <c r="R23" s="418"/>
      <c r="S23" s="376"/>
      <c r="T23" s="377"/>
      <c r="U23" s="377"/>
      <c r="V23" s="377"/>
      <c r="W23" s="377"/>
      <c r="X23" s="427"/>
      <c r="Y23" s="358"/>
      <c r="Z23" s="359"/>
      <c r="AA23" s="359"/>
      <c r="AB23" s="359"/>
      <c r="AC23" s="359"/>
      <c r="AD23" s="359"/>
      <c r="AE23" s="359"/>
      <c r="AF23" s="359"/>
      <c r="AG23" s="359"/>
      <c r="AH23" s="359"/>
      <c r="AI23" s="359"/>
      <c r="AJ23" s="261" t="str">
        <f>IF(AC23="","-",IF(LOOKUP(AC23,BoonRef!A$2:A$430,BoonRef!I$2:I$430)="None","-",LOOKUP(AC23,BoonRef!A$2:A$430,BoonRef!I$2:I$430)))</f>
        <v>-</v>
      </c>
      <c r="AK23" s="261" t="s">
        <v>98</v>
      </c>
      <c r="AL23" s="261" t="str">
        <f>IF(AC23="","-",IF(LOOKUP(AC23,BoonRef!A$2:A$430,BoonRef!M$2:M$430)=0,"-",LOOKUP(AC23,BoonRef!A$2:A$430,BoonRef!M$2:M$430)))</f>
        <v>-</v>
      </c>
      <c r="AM23" s="356" t="str">
        <f>IF(AC23="","-",IF(LOOKUP(AC23,BoonRef!A$2:A$430,BoonRef!N$2:N$430)="None","-",LOOKUP(AC23,BoonRef!A$2:A$430,BoonRef!N$2:N$430)))</f>
        <v>-</v>
      </c>
      <c r="AN23" s="356"/>
      <c r="AO23" s="356"/>
      <c r="AP23" s="356"/>
      <c r="AQ23" s="356"/>
      <c r="AR23" s="356"/>
      <c r="AS23" s="356"/>
      <c r="AT23" s="356"/>
      <c r="AU23" s="356"/>
      <c r="AV23" s="357"/>
      <c r="AW23" s="376"/>
      <c r="AX23" s="377"/>
      <c r="AY23" s="377"/>
      <c r="AZ23" s="377"/>
      <c r="BA23" s="377"/>
      <c r="BB23" s="377"/>
      <c r="BC23" s="377"/>
      <c r="BD23" s="377"/>
      <c r="BE23" s="377"/>
      <c r="BF23" s="377"/>
      <c r="BG23" s="377"/>
      <c r="BH23" s="377"/>
      <c r="BI23" s="377"/>
      <c r="BJ23" s="377"/>
      <c r="BK23" s="377"/>
      <c r="BL23" s="377"/>
      <c r="BM23" s="377"/>
      <c r="BN23" s="377"/>
      <c r="BO23" s="377"/>
      <c r="BP23" s="377"/>
      <c r="BQ23" s="377"/>
      <c r="BR23" s="377"/>
      <c r="BS23" s="377"/>
      <c r="BT23" s="418"/>
      <c r="BU23" s="352"/>
      <c r="BV23" s="352"/>
      <c r="BW23" s="352"/>
      <c r="BX23" s="352"/>
      <c r="BY23" s="352"/>
      <c r="BZ23" s="352"/>
      <c r="CA23" s="352"/>
      <c r="CB23" s="352"/>
      <c r="CC23" s="352"/>
      <c r="CD23" s="352"/>
      <c r="CE23" s="352"/>
      <c r="CF23" s="352"/>
      <c r="CG23" s="352"/>
      <c r="CH23" s="352"/>
      <c r="CI23" s="352"/>
      <c r="CJ23" s="352"/>
      <c r="CK23" s="352"/>
      <c r="CL23" s="352"/>
      <c r="CM23" s="352"/>
      <c r="CN23" s="352"/>
      <c r="CO23" s="352"/>
      <c r="CP23" s="352"/>
      <c r="CQ23" s="352"/>
      <c r="CR23" s="353"/>
      <c r="CS23" s="358"/>
      <c r="CT23" s="359"/>
      <c r="CU23" s="359"/>
      <c r="CV23" s="359"/>
      <c r="CW23" s="359"/>
      <c r="CX23" s="359"/>
      <c r="CY23" s="359"/>
      <c r="CZ23" s="359"/>
      <c r="DA23" s="359"/>
      <c r="DB23" s="359"/>
      <c r="DC23" s="359"/>
      <c r="DD23" s="359"/>
      <c r="DE23" s="359"/>
      <c r="DF23" s="359"/>
      <c r="DG23" s="359"/>
      <c r="DH23" s="410"/>
      <c r="DI23" s="358"/>
      <c r="DJ23" s="359"/>
      <c r="DK23" s="359"/>
      <c r="DL23" s="359"/>
      <c r="DM23" s="359"/>
      <c r="DN23" s="359"/>
      <c r="DO23" s="359"/>
      <c r="DP23" s="410"/>
    </row>
    <row r="24" spans="1:122" ht="15" customHeight="1" thickBot="1" x14ac:dyDescent="0.3">
      <c r="A24" s="392" t="s">
        <v>1804</v>
      </c>
      <c r="B24" s="391"/>
      <c r="C24" s="391"/>
      <c r="D24" s="391"/>
      <c r="E24" s="391"/>
      <c r="F24" s="409"/>
      <c r="G24" s="404" t="s">
        <v>94</v>
      </c>
      <c r="H24" s="405"/>
      <c r="I24" s="405"/>
      <c r="J24" s="462">
        <f>E7+G7</f>
        <v>1</v>
      </c>
      <c r="K24" s="462"/>
      <c r="L24" s="404" t="s">
        <v>99</v>
      </c>
      <c r="M24" s="405"/>
      <c r="N24" s="405"/>
      <c r="O24" s="462">
        <f>IF(R35="yes",(E6+E14+G14+G6)*2,E6+E14+G6)</f>
        <v>1</v>
      </c>
      <c r="P24" s="462"/>
      <c r="Q24" s="463">
        <f>O24*2</f>
        <v>2</v>
      </c>
      <c r="R24" s="509"/>
      <c r="S24" s="442" t="s">
        <v>115</v>
      </c>
      <c r="T24" s="443"/>
      <c r="U24" s="443"/>
      <c r="V24" s="443"/>
      <c r="W24" s="443"/>
      <c r="X24" s="443"/>
      <c r="Y24" s="358"/>
      <c r="Z24" s="359"/>
      <c r="AA24" s="359"/>
      <c r="AB24" s="359"/>
      <c r="AC24" s="359"/>
      <c r="AD24" s="359"/>
      <c r="AE24" s="359"/>
      <c r="AF24" s="359"/>
      <c r="AG24" s="359"/>
      <c r="AH24" s="359"/>
      <c r="AI24" s="359"/>
      <c r="AJ24" s="261" t="str">
        <f>IF(AC24="","-",IF(LOOKUP(AC24,BoonRef!A$2:A$430,BoonRef!I$2:I$430)="None","-",LOOKUP(AC24,BoonRef!A$2:A$430,BoonRef!I$2:I$430)))</f>
        <v>-</v>
      </c>
      <c r="AK24" s="261" t="s">
        <v>98</v>
      </c>
      <c r="AL24" s="261" t="str">
        <f>IF(AC24="","-",IF(LOOKUP(AC24,BoonRef!A$2:A$430,BoonRef!M$2:M$430)=0,"-",LOOKUP(AC24,BoonRef!A$2:A$430,BoonRef!M$2:M$430)))</f>
        <v>-</v>
      </c>
      <c r="AM24" s="356" t="str">
        <f>IF(AC24="","-",IF(LOOKUP(AC24,BoonRef!A$2:A$430,BoonRef!N$2:N$430)="None","-",LOOKUP(AC24,BoonRef!A$2:A$430,BoonRef!N$2:N$430)))</f>
        <v>-</v>
      </c>
      <c r="AN24" s="356"/>
      <c r="AO24" s="356"/>
      <c r="AP24" s="356"/>
      <c r="AQ24" s="356"/>
      <c r="AR24" s="356"/>
      <c r="AS24" s="356"/>
      <c r="AT24" s="356"/>
      <c r="AU24" s="356"/>
      <c r="AV24" s="357"/>
      <c r="AW24" s="521" t="s">
        <v>75</v>
      </c>
      <c r="AX24" s="522"/>
      <c r="AY24" s="522"/>
      <c r="AZ24" s="522" t="s">
        <v>77</v>
      </c>
      <c r="BA24" s="522"/>
      <c r="BB24" s="522"/>
      <c r="BC24" s="522"/>
      <c r="BD24" s="522"/>
      <c r="BE24" s="522" t="s">
        <v>10</v>
      </c>
      <c r="BF24" s="522"/>
      <c r="BG24" s="522" t="s">
        <v>146</v>
      </c>
      <c r="BH24" s="522"/>
      <c r="BI24" s="522"/>
      <c r="BJ24" s="522"/>
      <c r="BK24" s="522"/>
      <c r="BL24" s="522"/>
      <c r="BM24" s="522"/>
      <c r="BN24" s="522"/>
      <c r="BO24" s="522"/>
      <c r="BP24" s="522"/>
      <c r="BQ24" s="522"/>
      <c r="BR24" s="522"/>
      <c r="BS24" s="522"/>
      <c r="BT24" s="523"/>
      <c r="BU24" s="352"/>
      <c r="BV24" s="352"/>
      <c r="BW24" s="352"/>
      <c r="BX24" s="352"/>
      <c r="BY24" s="352"/>
      <c r="BZ24" s="352"/>
      <c r="CA24" s="352"/>
      <c r="CB24" s="352"/>
      <c r="CC24" s="352"/>
      <c r="CD24" s="352"/>
      <c r="CE24" s="352"/>
      <c r="CF24" s="352"/>
      <c r="CG24" s="352"/>
      <c r="CH24" s="352"/>
      <c r="CI24" s="352"/>
      <c r="CJ24" s="352"/>
      <c r="CK24" s="352"/>
      <c r="CL24" s="352"/>
      <c r="CM24" s="352"/>
      <c r="CN24" s="352"/>
      <c r="CO24" s="352"/>
      <c r="CP24" s="352"/>
      <c r="CQ24" s="352"/>
      <c r="CR24" s="353"/>
      <c r="CS24" s="358"/>
      <c r="CT24" s="359"/>
      <c r="CU24" s="359"/>
      <c r="CV24" s="359"/>
      <c r="CW24" s="359"/>
      <c r="CX24" s="359"/>
      <c r="CY24" s="359"/>
      <c r="CZ24" s="359"/>
      <c r="DA24" s="359"/>
      <c r="DB24" s="359"/>
      <c r="DC24" s="359"/>
      <c r="DD24" s="359"/>
      <c r="DE24" s="359"/>
      <c r="DF24" s="359"/>
      <c r="DG24" s="359"/>
      <c r="DH24" s="410"/>
      <c r="DI24" s="358"/>
      <c r="DJ24" s="359"/>
      <c r="DK24" s="359"/>
      <c r="DL24" s="359"/>
      <c r="DM24" s="359"/>
      <c r="DN24" s="359"/>
      <c r="DO24" s="359"/>
      <c r="DP24" s="410"/>
    </row>
    <row r="25" spans="1:122" ht="15" customHeight="1" x14ac:dyDescent="0.25">
      <c r="A25" s="393" t="s">
        <v>89</v>
      </c>
      <c r="B25" s="389"/>
      <c r="C25" s="389"/>
      <c r="D25" s="356">
        <f>E8+G8</f>
        <v>1</v>
      </c>
      <c r="E25" s="356"/>
      <c r="F25" s="401"/>
      <c r="G25" s="406" t="s">
        <v>96</v>
      </c>
      <c r="H25" s="407"/>
      <c r="I25" s="407"/>
      <c r="J25" s="403">
        <f>E7+6+G7*2</f>
        <v>7</v>
      </c>
      <c r="K25" s="403"/>
      <c r="L25" s="407" t="s">
        <v>114</v>
      </c>
      <c r="M25" s="407"/>
      <c r="N25" s="407"/>
      <c r="O25" s="407"/>
      <c r="P25" s="403">
        <f>IF(L33="Yes",IF(2199&lt;(DQ19+DR19)*2,(DR19+DQ19)/1100,(DQ19+DR19)*2),IF(2199&lt;DQ19+DR19,(DR19+DQ19)/2200,DQ19+DR19))</f>
        <v>40</v>
      </c>
      <c r="Q25" s="403"/>
      <c r="R25" s="26" t="str">
        <f>IF(L33="yes",IF((DQ19+DR19)*2&gt;2199,"ton","lbs"),IF(DQ19+DR19&gt;2199,"ton","lbs"))</f>
        <v>lbs</v>
      </c>
      <c r="S25" s="404" t="s">
        <v>150</v>
      </c>
      <c r="T25" s="405"/>
      <c r="U25" s="53" t="s">
        <v>120</v>
      </c>
      <c r="V25" s="266" t="s">
        <v>116</v>
      </c>
      <c r="W25" s="266" t="s">
        <v>117</v>
      </c>
      <c r="X25" s="267" t="s">
        <v>118</v>
      </c>
      <c r="Y25" s="358"/>
      <c r="Z25" s="359"/>
      <c r="AA25" s="359"/>
      <c r="AB25" s="359"/>
      <c r="AC25" s="359"/>
      <c r="AD25" s="359"/>
      <c r="AE25" s="359"/>
      <c r="AF25" s="359"/>
      <c r="AG25" s="359"/>
      <c r="AH25" s="359"/>
      <c r="AI25" s="359"/>
      <c r="AJ25" s="261" t="str">
        <f>IF(AC25="","-",IF(LOOKUP(AC25,BoonRef!A$2:A$430,BoonRef!I$2:I$430)="None","-",LOOKUP(AC25,BoonRef!A$2:A$430,BoonRef!I$2:I$430)))</f>
        <v>-</v>
      </c>
      <c r="AK25" s="261" t="s">
        <v>98</v>
      </c>
      <c r="AL25" s="261" t="str">
        <f>IF(AC25="","-",IF(LOOKUP(AC25,BoonRef!A$2:A$430,BoonRef!M$2:M$430)=0,"-",LOOKUP(AC25,BoonRef!A$2:A$430,BoonRef!M$2:M$430)))</f>
        <v>-</v>
      </c>
      <c r="AM25" s="356" t="str">
        <f>IF(AC25="","-",IF(LOOKUP(AC25,BoonRef!A$2:A$430,BoonRef!N$2:N$430)="None","-",LOOKUP(AC25,BoonRef!A$2:A$430,BoonRef!N$2:N$430)))</f>
        <v>-</v>
      </c>
      <c r="AN25" s="356"/>
      <c r="AO25" s="356"/>
      <c r="AP25" s="356"/>
      <c r="AQ25" s="356"/>
      <c r="AR25" s="356"/>
      <c r="AS25" s="356"/>
      <c r="AT25" s="356"/>
      <c r="AU25" s="356"/>
      <c r="AV25" s="357"/>
      <c r="AW25" s="362" t="s">
        <v>142</v>
      </c>
      <c r="AX25" s="363"/>
      <c r="AY25" s="363"/>
      <c r="AZ25" s="363"/>
      <c r="BA25" s="363"/>
      <c r="BB25" s="363"/>
      <c r="BC25" s="363"/>
      <c r="BD25" s="363"/>
      <c r="BE25" s="363"/>
      <c r="BF25" s="363"/>
      <c r="BG25" s="519"/>
      <c r="BH25" s="363"/>
      <c r="BI25" s="363"/>
      <c r="BJ25" s="363"/>
      <c r="BK25" s="363"/>
      <c r="BL25" s="363"/>
      <c r="BM25" s="363"/>
      <c r="BN25" s="363"/>
      <c r="BO25" s="363"/>
      <c r="BP25" s="363"/>
      <c r="BQ25" s="363"/>
      <c r="BR25" s="363"/>
      <c r="BS25" s="363"/>
      <c r="BT25" s="369"/>
      <c r="BU25" s="352"/>
      <c r="BV25" s="352"/>
      <c r="BW25" s="352"/>
      <c r="BX25" s="352"/>
      <c r="BY25" s="352"/>
      <c r="BZ25" s="352"/>
      <c r="CA25" s="352"/>
      <c r="CB25" s="352"/>
      <c r="CC25" s="352"/>
      <c r="CD25" s="352"/>
      <c r="CE25" s="352"/>
      <c r="CF25" s="352"/>
      <c r="CG25" s="352"/>
      <c r="CH25" s="352"/>
      <c r="CI25" s="352"/>
      <c r="CJ25" s="352"/>
      <c r="CK25" s="352"/>
      <c r="CL25" s="352"/>
      <c r="CM25" s="352"/>
      <c r="CN25" s="352"/>
      <c r="CO25" s="352"/>
      <c r="CP25" s="352"/>
      <c r="CQ25" s="352"/>
      <c r="CR25" s="353"/>
      <c r="CS25" s="358"/>
      <c r="CT25" s="359"/>
      <c r="CU25" s="359"/>
      <c r="CV25" s="359"/>
      <c r="CW25" s="359"/>
      <c r="CX25" s="359"/>
      <c r="CY25" s="359"/>
      <c r="CZ25" s="359"/>
      <c r="DA25" s="359"/>
      <c r="DB25" s="359"/>
      <c r="DC25" s="359"/>
      <c r="DD25" s="359"/>
      <c r="DE25" s="359"/>
      <c r="DF25" s="359"/>
      <c r="DG25" s="359"/>
      <c r="DH25" s="410"/>
      <c r="DI25" s="358"/>
      <c r="DJ25" s="359"/>
      <c r="DK25" s="359"/>
      <c r="DL25" s="359"/>
      <c r="DM25" s="359"/>
      <c r="DN25" s="359"/>
      <c r="DO25" s="359"/>
      <c r="DP25" s="410"/>
    </row>
    <row r="26" spans="1:122" ht="15" customHeight="1" thickBot="1" x14ac:dyDescent="0.3">
      <c r="A26" s="393" t="s">
        <v>90</v>
      </c>
      <c r="B26" s="389"/>
      <c r="C26" s="389"/>
      <c r="D26" s="356">
        <f>ROUNDUP(E8/2,0)+G8</f>
        <v>1</v>
      </c>
      <c r="E26" s="356"/>
      <c r="F26" s="401"/>
      <c r="G26" s="408" t="s">
        <v>100</v>
      </c>
      <c r="H26" s="402"/>
      <c r="I26" s="402"/>
      <c r="J26" s="414">
        <f>IF(L37="Yes",J25,IF(L36="Yes",J24,J24/2))</f>
        <v>0.5</v>
      </c>
      <c r="K26" s="414"/>
      <c r="L26" s="402" t="s">
        <v>909</v>
      </c>
      <c r="M26" s="402"/>
      <c r="N26" s="402"/>
      <c r="O26" s="402"/>
      <c r="P26" s="414">
        <f>IF(R33="yes",IF(R34="Yes",(E6+E14+G14+G6)*6,(E6+E14+G14+G6)*2),E6+E14+G14+G6)</f>
        <v>1</v>
      </c>
      <c r="Q26" s="414"/>
      <c r="R26" s="27" t="s">
        <v>908</v>
      </c>
      <c r="S26" s="406">
        <v>0</v>
      </c>
      <c r="T26" s="407"/>
      <c r="U26" s="25">
        <f>IF(R37="No",IF(F8=0,1,IF(F8=1,3,IF(F8=2,5,IF(F8=3,5,IF(F8=4,13,IF(F8=5,17,IF(F8=6,22,IF(F8=7,28,IF(F8=8,35,IF(F8=9,43,52)))))))))),1)</f>
        <v>1</v>
      </c>
      <c r="V26" s="255"/>
      <c r="W26" s="255"/>
      <c r="X26" s="268"/>
      <c r="Y26" s="358"/>
      <c r="Z26" s="359"/>
      <c r="AA26" s="359"/>
      <c r="AB26" s="359"/>
      <c r="AC26" s="359"/>
      <c r="AD26" s="359"/>
      <c r="AE26" s="359"/>
      <c r="AF26" s="359"/>
      <c r="AG26" s="359"/>
      <c r="AH26" s="359"/>
      <c r="AI26" s="359"/>
      <c r="AJ26" s="261" t="str">
        <f>IF(AC26="","-",IF(LOOKUP(AC26,BoonRef!A$2:A$430,BoonRef!I$2:I$430)="None","-",LOOKUP(AC26,BoonRef!A$2:A$430,BoonRef!I$2:I$430)))</f>
        <v>-</v>
      </c>
      <c r="AK26" s="261" t="s">
        <v>98</v>
      </c>
      <c r="AL26" s="261" t="str">
        <f>IF(AC26="","-",IF(LOOKUP(AC26,BoonRef!A$2:A$430,BoonRef!M$2:M$430)=0,"-",LOOKUP(AC26,BoonRef!A$2:A$430,BoonRef!M$2:M$430)))</f>
        <v>-</v>
      </c>
      <c r="AM26" s="356" t="str">
        <f>IF(AC26="","-",IF(LOOKUP(AC26,BoonRef!A$2:A$430,BoonRef!N$2:N$430)="None","-",LOOKUP(AC26,BoonRef!A$2:A$430,BoonRef!N$2:N$430)))</f>
        <v>-</v>
      </c>
      <c r="AN26" s="356"/>
      <c r="AO26" s="356"/>
      <c r="AP26" s="356"/>
      <c r="AQ26" s="356"/>
      <c r="AR26" s="356"/>
      <c r="AS26" s="356"/>
      <c r="AT26" s="356"/>
      <c r="AU26" s="356"/>
      <c r="AV26" s="357"/>
      <c r="AW26" s="362"/>
      <c r="AX26" s="363"/>
      <c r="AY26" s="363"/>
      <c r="AZ26" s="363"/>
      <c r="BA26" s="363"/>
      <c r="BB26" s="363"/>
      <c r="BC26" s="363"/>
      <c r="BD26" s="363"/>
      <c r="BE26" s="363"/>
      <c r="BF26" s="363"/>
      <c r="BG26" s="363"/>
      <c r="BH26" s="363"/>
      <c r="BI26" s="363"/>
      <c r="BJ26" s="363"/>
      <c r="BK26" s="363"/>
      <c r="BL26" s="363"/>
      <c r="BM26" s="363"/>
      <c r="BN26" s="363"/>
      <c r="BO26" s="363"/>
      <c r="BP26" s="363"/>
      <c r="BQ26" s="363"/>
      <c r="BR26" s="363"/>
      <c r="BS26" s="363"/>
      <c r="BT26" s="369"/>
      <c r="BU26" s="352"/>
      <c r="BV26" s="352"/>
      <c r="BW26" s="352"/>
      <c r="BX26" s="352"/>
      <c r="BY26" s="352"/>
      <c r="BZ26" s="352"/>
      <c r="CA26" s="352"/>
      <c r="CB26" s="352"/>
      <c r="CC26" s="352"/>
      <c r="CD26" s="352"/>
      <c r="CE26" s="352"/>
      <c r="CF26" s="352"/>
      <c r="CG26" s="352"/>
      <c r="CH26" s="352"/>
      <c r="CI26" s="352"/>
      <c r="CJ26" s="352"/>
      <c r="CK26" s="352"/>
      <c r="CL26" s="352"/>
      <c r="CM26" s="352"/>
      <c r="CN26" s="352"/>
      <c r="CO26" s="352"/>
      <c r="CP26" s="352"/>
      <c r="CQ26" s="352"/>
      <c r="CR26" s="353"/>
      <c r="CS26" s="358"/>
      <c r="CT26" s="359"/>
      <c r="CU26" s="359"/>
      <c r="CV26" s="359"/>
      <c r="CW26" s="359"/>
      <c r="CX26" s="359"/>
      <c r="CY26" s="359"/>
      <c r="CZ26" s="359"/>
      <c r="DA26" s="359"/>
      <c r="DB26" s="359"/>
      <c r="DC26" s="359"/>
      <c r="DD26" s="359"/>
      <c r="DE26" s="359"/>
      <c r="DF26" s="359"/>
      <c r="DG26" s="359"/>
      <c r="DH26" s="410"/>
      <c r="DI26" s="358"/>
      <c r="DJ26" s="359"/>
      <c r="DK26" s="359"/>
      <c r="DL26" s="359"/>
      <c r="DM26" s="359"/>
      <c r="DN26" s="359"/>
      <c r="DO26" s="359"/>
      <c r="DP26" s="410"/>
    </row>
    <row r="27" spans="1:122" ht="15.75" thickBot="1" x14ac:dyDescent="0.3">
      <c r="A27" s="396" t="s">
        <v>91</v>
      </c>
      <c r="B27" s="395"/>
      <c r="C27" s="395"/>
      <c r="D27" s="434">
        <f>F8</f>
        <v>0</v>
      </c>
      <c r="E27" s="434"/>
      <c r="F27" s="474"/>
      <c r="G27" s="436" t="s">
        <v>102</v>
      </c>
      <c r="H27" s="437"/>
      <c r="I27" s="437"/>
      <c r="J27" s="437"/>
      <c r="K27" s="437"/>
      <c r="L27" s="437"/>
      <c r="M27" s="437"/>
      <c r="N27" s="437"/>
      <c r="O27" s="437"/>
      <c r="P27" s="437"/>
      <c r="Q27" s="437"/>
      <c r="R27" s="438"/>
      <c r="S27" s="406" t="str">
        <f>IF(R37="No","-1","+1")</f>
        <v>+1</v>
      </c>
      <c r="T27" s="407"/>
      <c r="U27" s="25">
        <f>IF(R37="No",IF(F8=0,2,IF(F8=1,2,IF(F8=2,0,IF(F8=3,1,0)))),2)</f>
        <v>2</v>
      </c>
      <c r="V27" s="255"/>
      <c r="W27" s="255"/>
      <c r="X27" s="268"/>
      <c r="Y27" s="358"/>
      <c r="Z27" s="359"/>
      <c r="AA27" s="359"/>
      <c r="AB27" s="359"/>
      <c r="AC27" s="359"/>
      <c r="AD27" s="359"/>
      <c r="AE27" s="359"/>
      <c r="AF27" s="359"/>
      <c r="AG27" s="359"/>
      <c r="AH27" s="359"/>
      <c r="AI27" s="359"/>
      <c r="AJ27" s="261" t="str">
        <f>IF(AC27="","-",IF(LOOKUP(AC27,BoonRef!A$2:A$430,BoonRef!I$2:I$430)="None","-",LOOKUP(AC27,BoonRef!A$2:A$430,BoonRef!I$2:I$430)))</f>
        <v>-</v>
      </c>
      <c r="AK27" s="261" t="s">
        <v>98</v>
      </c>
      <c r="AL27" s="261" t="str">
        <f>IF(AC27="","-",IF(LOOKUP(AC27,BoonRef!A$2:A$430,BoonRef!M$2:M$430)=0,"-",LOOKUP(AC27,BoonRef!A$2:A$430,BoonRef!M$2:M$430)))</f>
        <v>-</v>
      </c>
      <c r="AM27" s="356" t="str">
        <f>IF(AC27="","-",IF(LOOKUP(AC27,BoonRef!A$2:A$430,BoonRef!N$2:N$430)="None","-",LOOKUP(AC27,BoonRef!A$2:A$430,BoonRef!N$2:N$430)))</f>
        <v>-</v>
      </c>
      <c r="AN27" s="356"/>
      <c r="AO27" s="356"/>
      <c r="AP27" s="356"/>
      <c r="AQ27" s="356"/>
      <c r="AR27" s="356"/>
      <c r="AS27" s="356"/>
      <c r="AT27" s="356"/>
      <c r="AU27" s="356"/>
      <c r="AV27" s="357"/>
      <c r="AW27" s="362" t="s">
        <v>142</v>
      </c>
      <c r="AX27" s="363"/>
      <c r="AY27" s="363"/>
      <c r="AZ27" s="363"/>
      <c r="BA27" s="363"/>
      <c r="BB27" s="363"/>
      <c r="BC27" s="363"/>
      <c r="BD27" s="363"/>
      <c r="BE27" s="363"/>
      <c r="BF27" s="363"/>
      <c r="BG27" s="363"/>
      <c r="BH27" s="363"/>
      <c r="BI27" s="363"/>
      <c r="BJ27" s="363"/>
      <c r="BK27" s="363"/>
      <c r="BL27" s="363"/>
      <c r="BM27" s="363"/>
      <c r="BN27" s="363"/>
      <c r="BO27" s="363"/>
      <c r="BP27" s="363"/>
      <c r="BQ27" s="363"/>
      <c r="BR27" s="363"/>
      <c r="BS27" s="363"/>
      <c r="BT27" s="369"/>
      <c r="BU27" s="352"/>
      <c r="BV27" s="352"/>
      <c r="BW27" s="352"/>
      <c r="BX27" s="352"/>
      <c r="BY27" s="352"/>
      <c r="BZ27" s="352"/>
      <c r="CA27" s="352"/>
      <c r="CB27" s="352"/>
      <c r="CC27" s="352"/>
      <c r="CD27" s="352"/>
      <c r="CE27" s="352"/>
      <c r="CF27" s="352"/>
      <c r="CG27" s="352"/>
      <c r="CH27" s="352"/>
      <c r="CI27" s="352"/>
      <c r="CJ27" s="352"/>
      <c r="CK27" s="352"/>
      <c r="CL27" s="352"/>
      <c r="CM27" s="352"/>
      <c r="CN27" s="352"/>
      <c r="CO27" s="352"/>
      <c r="CP27" s="352"/>
      <c r="CQ27" s="352"/>
      <c r="CR27" s="353"/>
      <c r="CS27" s="358"/>
      <c r="CT27" s="359"/>
      <c r="CU27" s="359"/>
      <c r="CV27" s="359"/>
      <c r="CW27" s="359"/>
      <c r="CX27" s="359"/>
      <c r="CY27" s="359"/>
      <c r="CZ27" s="359"/>
      <c r="DA27" s="359"/>
      <c r="DB27" s="359"/>
      <c r="DC27" s="359"/>
      <c r="DD27" s="359"/>
      <c r="DE27" s="359"/>
      <c r="DF27" s="359"/>
      <c r="DG27" s="359"/>
      <c r="DH27" s="410"/>
      <c r="DI27" s="358"/>
      <c r="DJ27" s="359"/>
      <c r="DK27" s="359"/>
      <c r="DL27" s="359"/>
      <c r="DM27" s="359"/>
      <c r="DN27" s="359"/>
      <c r="DO27" s="359"/>
      <c r="DP27" s="410"/>
    </row>
    <row r="28" spans="1:122" ht="15.75" customHeight="1" thickBot="1" x14ac:dyDescent="0.3">
      <c r="A28" s="399" t="s">
        <v>95</v>
      </c>
      <c r="B28" s="400"/>
      <c r="C28" s="400"/>
      <c r="D28" s="400"/>
      <c r="E28" s="504">
        <f>ROUNDUP((E7+E14+G14+V34)/2,0)+G7</f>
        <v>2</v>
      </c>
      <c r="F28" s="505"/>
      <c r="G28" s="439"/>
      <c r="H28" s="440"/>
      <c r="I28" s="440"/>
      <c r="J28" s="440"/>
      <c r="K28" s="440"/>
      <c r="L28" s="440"/>
      <c r="M28" s="440"/>
      <c r="N28" s="440"/>
      <c r="O28" s="440"/>
      <c r="P28" s="440"/>
      <c r="Q28" s="440"/>
      <c r="R28" s="441"/>
      <c r="S28" s="406" t="str">
        <f>IF(R37="No","-2","+2")</f>
        <v>+2</v>
      </c>
      <c r="T28" s="407"/>
      <c r="U28" s="25">
        <f>IF(R37="No",IF(F8=0,2,IF(F8=1,0,IF(F8=2,1,0))),2)</f>
        <v>2</v>
      </c>
      <c r="V28" s="255"/>
      <c r="W28" s="255"/>
      <c r="X28" s="268"/>
      <c r="Y28" s="358"/>
      <c r="Z28" s="359"/>
      <c r="AA28" s="359"/>
      <c r="AB28" s="359"/>
      <c r="AC28" s="359"/>
      <c r="AD28" s="359"/>
      <c r="AE28" s="359"/>
      <c r="AF28" s="359"/>
      <c r="AG28" s="359"/>
      <c r="AH28" s="359"/>
      <c r="AI28" s="359"/>
      <c r="AJ28" s="261" t="str">
        <f>IF(AC28="","-",IF(LOOKUP(AC28,BoonRef!A$2:A$430,BoonRef!I$2:I$430)="None","-",LOOKUP(AC28,BoonRef!A$2:A$430,BoonRef!I$2:I$430)))</f>
        <v>-</v>
      </c>
      <c r="AK28" s="261" t="s">
        <v>98</v>
      </c>
      <c r="AL28" s="261" t="str">
        <f>IF(AC28="","-",IF(LOOKUP(AC28,BoonRef!A$2:A$430,BoonRef!M$2:M$430)=0,"-",LOOKUP(AC28,BoonRef!A$2:A$430,BoonRef!M$2:M$430)))</f>
        <v>-</v>
      </c>
      <c r="AM28" s="356" t="str">
        <f>IF(AC28="","-",IF(LOOKUP(AC28,BoonRef!A$2:A$430,BoonRef!N$2:N$430)="None","-",LOOKUP(AC28,BoonRef!A$2:A$430,BoonRef!N$2:N$430)))</f>
        <v>-</v>
      </c>
      <c r="AN28" s="356"/>
      <c r="AO28" s="356"/>
      <c r="AP28" s="356"/>
      <c r="AQ28" s="356"/>
      <c r="AR28" s="356"/>
      <c r="AS28" s="356"/>
      <c r="AT28" s="356"/>
      <c r="AU28" s="356"/>
      <c r="AV28" s="357"/>
      <c r="AW28" s="362"/>
      <c r="AX28" s="363"/>
      <c r="AY28" s="363"/>
      <c r="AZ28" s="363"/>
      <c r="BA28" s="363"/>
      <c r="BB28" s="363"/>
      <c r="BC28" s="363"/>
      <c r="BD28" s="363"/>
      <c r="BE28" s="363"/>
      <c r="BF28" s="363"/>
      <c r="BG28" s="363"/>
      <c r="BH28" s="363"/>
      <c r="BI28" s="363"/>
      <c r="BJ28" s="363"/>
      <c r="BK28" s="363"/>
      <c r="BL28" s="363"/>
      <c r="BM28" s="363"/>
      <c r="BN28" s="363"/>
      <c r="BO28" s="363"/>
      <c r="BP28" s="363"/>
      <c r="BQ28" s="363"/>
      <c r="BR28" s="363"/>
      <c r="BS28" s="363"/>
      <c r="BT28" s="369"/>
      <c r="BU28" s="352"/>
      <c r="BV28" s="352"/>
      <c r="BW28" s="352"/>
      <c r="BX28" s="352"/>
      <c r="BY28" s="352"/>
      <c r="BZ28" s="352"/>
      <c r="CA28" s="352"/>
      <c r="CB28" s="352"/>
      <c r="CC28" s="352"/>
      <c r="CD28" s="352"/>
      <c r="CE28" s="352"/>
      <c r="CF28" s="352"/>
      <c r="CG28" s="352"/>
      <c r="CH28" s="352"/>
      <c r="CI28" s="352"/>
      <c r="CJ28" s="352"/>
      <c r="CK28" s="352"/>
      <c r="CL28" s="352"/>
      <c r="CM28" s="352"/>
      <c r="CN28" s="352"/>
      <c r="CO28" s="352"/>
      <c r="CP28" s="352"/>
      <c r="CQ28" s="352"/>
      <c r="CR28" s="353"/>
      <c r="CS28" s="358"/>
      <c r="CT28" s="359"/>
      <c r="CU28" s="359"/>
      <c r="CV28" s="359"/>
      <c r="CW28" s="359"/>
      <c r="CX28" s="359"/>
      <c r="CY28" s="359"/>
      <c r="CZ28" s="359"/>
      <c r="DA28" s="359"/>
      <c r="DB28" s="359"/>
      <c r="DC28" s="359"/>
      <c r="DD28" s="359"/>
      <c r="DE28" s="359"/>
      <c r="DF28" s="359"/>
      <c r="DG28" s="359"/>
      <c r="DH28" s="410"/>
      <c r="DI28" s="358"/>
      <c r="DJ28" s="359"/>
      <c r="DK28" s="359"/>
      <c r="DL28" s="359"/>
      <c r="DM28" s="359"/>
      <c r="DN28" s="359"/>
      <c r="DO28" s="359"/>
      <c r="DP28" s="410"/>
    </row>
    <row r="29" spans="1:122" ht="15.75" customHeight="1" thickBot="1" x14ac:dyDescent="0.3">
      <c r="A29" s="506" t="s">
        <v>97</v>
      </c>
      <c r="B29" s="507"/>
      <c r="C29" s="508"/>
      <c r="D29" s="211">
        <f>U8+E15+G15</f>
        <v>1</v>
      </c>
      <c r="E29" s="212" t="s">
        <v>98</v>
      </c>
      <c r="F29" s="213">
        <f>W8</f>
        <v>0</v>
      </c>
      <c r="G29" s="510" t="str">
        <f>Creation!Q19</f>
        <v>Select Pantheon</v>
      </c>
      <c r="H29" s="511"/>
      <c r="I29" s="511"/>
      <c r="J29" s="511"/>
      <c r="K29" s="391"/>
      <c r="L29" s="264">
        <f>SUM(DotTracking!T4:X4,DotTracking!AR4:AV4,DotTracking!BP4:BT4,DotTracking!CN4:CR4,DotTracking!DL4:DP4)</f>
        <v>1</v>
      </c>
      <c r="M29" s="511" t="str">
        <f>Creation!Q21</f>
        <v>Select Pantheon</v>
      </c>
      <c r="N29" s="511"/>
      <c r="O29" s="511"/>
      <c r="P29" s="511"/>
      <c r="Q29" s="391"/>
      <c r="R29" s="265">
        <f>SUM(DotTracking!T6:X6,DotTracking!AR6:AV6,DotTracking!BP6:BT6,DotTracking!CN6:CR6,DotTracking!DL6:DP6)</f>
        <v>1</v>
      </c>
      <c r="S29" s="406" t="str">
        <f>IF(R37="No",IF(F8=1,-3,-4),"+4")</f>
        <v>+4</v>
      </c>
      <c r="T29" s="407"/>
      <c r="U29" s="25">
        <f>IF(R37="Yes",IF(F8=0,1,IF(F8=1,1,IF(F8=2,1,IF(F8=3,1,IF(F8=4,8,IF(F8=5,12,IF(F8=6,17,IF(F8=7,23,IF(F8=8,30,IF(F8=9,38,47)))))))))),IF(F8=0,1,IF(F8=1,1,0)))</f>
        <v>1</v>
      </c>
      <c r="V29" s="255"/>
      <c r="W29" s="255"/>
      <c r="X29" s="268"/>
      <c r="Y29" s="358"/>
      <c r="Z29" s="359"/>
      <c r="AA29" s="359"/>
      <c r="AB29" s="359"/>
      <c r="AC29" s="359"/>
      <c r="AD29" s="359"/>
      <c r="AE29" s="359"/>
      <c r="AF29" s="359"/>
      <c r="AG29" s="359"/>
      <c r="AH29" s="359"/>
      <c r="AI29" s="359"/>
      <c r="AJ29" s="261" t="str">
        <f>IF(AC29="","-",IF(LOOKUP(AC29,BoonRef!A$2:A$430,BoonRef!I$2:I$430)="None","-",LOOKUP(AC29,BoonRef!A$2:A$430,BoonRef!I$2:I$430)))</f>
        <v>-</v>
      </c>
      <c r="AK29" s="261" t="s">
        <v>98</v>
      </c>
      <c r="AL29" s="261" t="str">
        <f>IF(AC29="","-",IF(LOOKUP(AC29,BoonRef!A$2:A$430,BoonRef!M$2:M$430)=0,"-",LOOKUP(AC29,BoonRef!A$2:A$430,BoonRef!M$2:M$430)))</f>
        <v>-</v>
      </c>
      <c r="AM29" s="356" t="str">
        <f>IF(AC29="","-",IF(LOOKUP(AC29,BoonRef!A$2:A$430,BoonRef!N$2:N$430)="None","-",LOOKUP(AC29,BoonRef!A$2:A$430,BoonRef!N$2:N$430)))</f>
        <v>-</v>
      </c>
      <c r="AN29" s="356"/>
      <c r="AO29" s="356"/>
      <c r="AP29" s="356"/>
      <c r="AQ29" s="356"/>
      <c r="AR29" s="356"/>
      <c r="AS29" s="356"/>
      <c r="AT29" s="356"/>
      <c r="AU29" s="356"/>
      <c r="AV29" s="357"/>
      <c r="AW29" s="362" t="s">
        <v>387</v>
      </c>
      <c r="AX29" s="363"/>
      <c r="AY29" s="363"/>
      <c r="AZ29" s="363"/>
      <c r="BA29" s="363"/>
      <c r="BB29" s="363"/>
      <c r="BC29" s="363"/>
      <c r="BD29" s="363"/>
      <c r="BE29" s="363"/>
      <c r="BF29" s="363"/>
      <c r="BG29" s="363"/>
      <c r="BH29" s="363"/>
      <c r="BI29" s="363"/>
      <c r="BJ29" s="363"/>
      <c r="BK29" s="363"/>
      <c r="BL29" s="363"/>
      <c r="BM29" s="363"/>
      <c r="BN29" s="363"/>
      <c r="BO29" s="363"/>
      <c r="BP29" s="363"/>
      <c r="BQ29" s="363"/>
      <c r="BR29" s="363"/>
      <c r="BS29" s="363"/>
      <c r="BT29" s="369"/>
      <c r="BU29" s="352"/>
      <c r="BV29" s="352"/>
      <c r="BW29" s="352"/>
      <c r="BX29" s="352"/>
      <c r="BY29" s="352"/>
      <c r="BZ29" s="352"/>
      <c r="CA29" s="352"/>
      <c r="CB29" s="352"/>
      <c r="CC29" s="352"/>
      <c r="CD29" s="352"/>
      <c r="CE29" s="352"/>
      <c r="CF29" s="352"/>
      <c r="CG29" s="352"/>
      <c r="CH29" s="352"/>
      <c r="CI29" s="352"/>
      <c r="CJ29" s="352"/>
      <c r="CK29" s="352"/>
      <c r="CL29" s="352"/>
      <c r="CM29" s="352"/>
      <c r="CN29" s="352"/>
      <c r="CO29" s="352"/>
      <c r="CP29" s="352"/>
      <c r="CQ29" s="352"/>
      <c r="CR29" s="353"/>
      <c r="CS29" s="358"/>
      <c r="CT29" s="359"/>
      <c r="CU29" s="359"/>
      <c r="CV29" s="359"/>
      <c r="CW29" s="359"/>
      <c r="CX29" s="359"/>
      <c r="CY29" s="359"/>
      <c r="CZ29" s="359"/>
      <c r="DA29" s="359"/>
      <c r="DB29" s="359"/>
      <c r="DC29" s="359"/>
      <c r="DD29" s="359"/>
      <c r="DE29" s="359"/>
      <c r="DF29" s="359"/>
      <c r="DG29" s="359"/>
      <c r="DH29" s="410"/>
      <c r="DI29" s="358"/>
      <c r="DJ29" s="359"/>
      <c r="DK29" s="359"/>
      <c r="DL29" s="359"/>
      <c r="DM29" s="359"/>
      <c r="DN29" s="359"/>
      <c r="DO29" s="359"/>
      <c r="DP29" s="410"/>
    </row>
    <row r="30" spans="1:122" ht="15.75" customHeight="1" thickBot="1" x14ac:dyDescent="0.3">
      <c r="A30" s="513" t="s">
        <v>92</v>
      </c>
      <c r="B30" s="514"/>
      <c r="C30" s="514"/>
      <c r="D30" s="514"/>
      <c r="E30" s="514"/>
      <c r="F30" s="515"/>
      <c r="G30" s="512" t="str">
        <f>Creation!Q20</f>
        <v>Select Pantheon</v>
      </c>
      <c r="H30" s="428"/>
      <c r="I30" s="428"/>
      <c r="J30" s="428"/>
      <c r="K30" s="395"/>
      <c r="L30" s="258">
        <f>SUM(DotTracking!T5:X5,DotTracking!AR5:AV5,DotTracking!BP5:BT5,DotTracking!CN5:CR5,DotTracking!DL5:DP5)</f>
        <v>1</v>
      </c>
      <c r="M30" s="428" t="str">
        <f>Creation!Q22</f>
        <v>Select Pantheon</v>
      </c>
      <c r="N30" s="428"/>
      <c r="O30" s="428"/>
      <c r="P30" s="428"/>
      <c r="Q30" s="395"/>
      <c r="R30" s="259">
        <f>SUM(DotTracking!T7:X7,DotTracking!AR7:AV7,DotTracking!BP7:BT7,DotTracking!CN7:CR7,DotTracking!DL7:DP7)</f>
        <v>1</v>
      </c>
      <c r="S30" s="408" t="s">
        <v>119</v>
      </c>
      <c r="T30" s="402"/>
      <c r="U30" s="402"/>
      <c r="V30" s="260"/>
      <c r="W30" s="260"/>
      <c r="X30" s="269"/>
      <c r="Y30" s="358"/>
      <c r="Z30" s="359"/>
      <c r="AA30" s="359"/>
      <c r="AB30" s="359"/>
      <c r="AC30" s="359"/>
      <c r="AD30" s="359"/>
      <c r="AE30" s="359"/>
      <c r="AF30" s="359"/>
      <c r="AG30" s="359"/>
      <c r="AH30" s="359"/>
      <c r="AI30" s="359"/>
      <c r="AJ30" s="261" t="str">
        <f>IF(AC30="","-",IF(LOOKUP(AC30,BoonRef!A$2:A$430,BoonRef!I$2:I$430)="None","-",LOOKUP(AC30,BoonRef!A$2:A$430,BoonRef!I$2:I$430)))</f>
        <v>-</v>
      </c>
      <c r="AK30" s="261" t="s">
        <v>98</v>
      </c>
      <c r="AL30" s="261" t="str">
        <f>IF(AC30="","-",IF(LOOKUP(AC30,BoonRef!A$2:A$430,BoonRef!M$2:M$430)=0,"-",LOOKUP(AC30,BoonRef!A$2:A$430,BoonRef!M$2:M$430)))</f>
        <v>-</v>
      </c>
      <c r="AM30" s="356" t="str">
        <f>IF(AC30="","-",IF(LOOKUP(AC30,BoonRef!A$2:A$430,BoonRef!N$2:N$430)="None","-",LOOKUP(AC30,BoonRef!A$2:A$430,BoonRef!N$2:N$430)))</f>
        <v>-</v>
      </c>
      <c r="AN30" s="356"/>
      <c r="AO30" s="356"/>
      <c r="AP30" s="356"/>
      <c r="AQ30" s="356"/>
      <c r="AR30" s="356"/>
      <c r="AS30" s="356"/>
      <c r="AT30" s="356"/>
      <c r="AU30" s="356"/>
      <c r="AV30" s="357"/>
      <c r="AW30" s="362"/>
      <c r="AX30" s="363"/>
      <c r="AY30" s="363"/>
      <c r="AZ30" s="363"/>
      <c r="BA30" s="363"/>
      <c r="BB30" s="363"/>
      <c r="BC30" s="363"/>
      <c r="BD30" s="363"/>
      <c r="BE30" s="363"/>
      <c r="BF30" s="363"/>
      <c r="BG30" s="363"/>
      <c r="BH30" s="363"/>
      <c r="BI30" s="363"/>
      <c r="BJ30" s="363"/>
      <c r="BK30" s="363"/>
      <c r="BL30" s="363"/>
      <c r="BM30" s="363"/>
      <c r="BN30" s="363"/>
      <c r="BO30" s="363"/>
      <c r="BP30" s="363"/>
      <c r="BQ30" s="363"/>
      <c r="BR30" s="363"/>
      <c r="BS30" s="363"/>
      <c r="BT30" s="369"/>
      <c r="BU30" s="352"/>
      <c r="BV30" s="352"/>
      <c r="BW30" s="352"/>
      <c r="BX30" s="352"/>
      <c r="BY30" s="352"/>
      <c r="BZ30" s="352"/>
      <c r="CA30" s="352"/>
      <c r="CB30" s="352"/>
      <c r="CC30" s="352"/>
      <c r="CD30" s="352"/>
      <c r="CE30" s="352"/>
      <c r="CF30" s="352"/>
      <c r="CG30" s="352"/>
      <c r="CH30" s="352"/>
      <c r="CI30" s="352"/>
      <c r="CJ30" s="352"/>
      <c r="CK30" s="352"/>
      <c r="CL30" s="352"/>
      <c r="CM30" s="352"/>
      <c r="CN30" s="352"/>
      <c r="CO30" s="352"/>
      <c r="CP30" s="352"/>
      <c r="CQ30" s="352"/>
      <c r="CR30" s="353"/>
      <c r="CS30" s="358"/>
      <c r="CT30" s="359"/>
      <c r="CU30" s="359"/>
      <c r="CV30" s="359"/>
      <c r="CW30" s="359"/>
      <c r="CX30" s="359"/>
      <c r="CY30" s="359"/>
      <c r="CZ30" s="359"/>
      <c r="DA30" s="359"/>
      <c r="DB30" s="359"/>
      <c r="DC30" s="359"/>
      <c r="DD30" s="359"/>
      <c r="DE30" s="359"/>
      <c r="DF30" s="359"/>
      <c r="DG30" s="359"/>
      <c r="DH30" s="410"/>
      <c r="DI30" s="358"/>
      <c r="DJ30" s="359"/>
      <c r="DK30" s="359"/>
      <c r="DL30" s="359"/>
      <c r="DM30" s="359"/>
      <c r="DN30" s="359"/>
      <c r="DO30" s="359"/>
      <c r="DP30" s="410"/>
    </row>
    <row r="31" spans="1:122" ht="15.75" customHeight="1" x14ac:dyDescent="0.25">
      <c r="A31" s="392" t="s">
        <v>75</v>
      </c>
      <c r="B31" s="391"/>
      <c r="C31" s="391"/>
      <c r="D31" s="370" t="s">
        <v>761</v>
      </c>
      <c r="E31" s="370"/>
      <c r="F31" s="371"/>
      <c r="G31" s="373" t="s">
        <v>105</v>
      </c>
      <c r="H31" s="374"/>
      <c r="I31" s="374"/>
      <c r="J31" s="374"/>
      <c r="K31" s="374"/>
      <c r="L31" s="374"/>
      <c r="M31" s="374"/>
      <c r="N31" s="374"/>
      <c r="O31" s="374"/>
      <c r="P31" s="374"/>
      <c r="Q31" s="374"/>
      <c r="R31" s="375"/>
      <c r="S31" s="460" t="s">
        <v>83</v>
      </c>
      <c r="T31" s="459"/>
      <c r="U31" s="461"/>
      <c r="V31" s="458">
        <f>SUM(DotTracking!F26:O26,DotTracking!AD26:AM26,DotTracking!BB26:BK26,DotTracking!BZ26:CI26,DotTracking!CX26:DG26)</f>
        <v>5</v>
      </c>
      <c r="W31" s="459"/>
      <c r="X31" s="459"/>
      <c r="Y31" s="358"/>
      <c r="Z31" s="359"/>
      <c r="AA31" s="359"/>
      <c r="AB31" s="359"/>
      <c r="AC31" s="359"/>
      <c r="AD31" s="359"/>
      <c r="AE31" s="359"/>
      <c r="AF31" s="359"/>
      <c r="AG31" s="359"/>
      <c r="AH31" s="359"/>
      <c r="AI31" s="359"/>
      <c r="AJ31" s="261" t="str">
        <f>IF(AC31="","-",IF(LOOKUP(AC31,BoonRef!A$2:A$430,BoonRef!I$2:I$430)="None","-",LOOKUP(AC31,BoonRef!A$2:A$430,BoonRef!I$2:I$430)))</f>
        <v>-</v>
      </c>
      <c r="AK31" s="261" t="s">
        <v>98</v>
      </c>
      <c r="AL31" s="261" t="str">
        <f>IF(AC31="","-",IF(LOOKUP(AC31,BoonRef!A$2:A$430,BoonRef!M$2:M$430)=0,"-",LOOKUP(AC31,BoonRef!A$2:A$430,BoonRef!M$2:M$430)))</f>
        <v>-</v>
      </c>
      <c r="AM31" s="356" t="str">
        <f>IF(AC31="","-",IF(LOOKUP(AC31,BoonRef!A$2:A$430,BoonRef!N$2:N$430)="None","-",LOOKUP(AC31,BoonRef!A$2:A$430,BoonRef!N$2:N$430)))</f>
        <v>-</v>
      </c>
      <c r="AN31" s="356"/>
      <c r="AO31" s="356"/>
      <c r="AP31" s="356"/>
      <c r="AQ31" s="356"/>
      <c r="AR31" s="356"/>
      <c r="AS31" s="356"/>
      <c r="AT31" s="356"/>
      <c r="AU31" s="356"/>
      <c r="AV31" s="357"/>
      <c r="AW31" s="362" t="s">
        <v>387</v>
      </c>
      <c r="AX31" s="363"/>
      <c r="AY31" s="363"/>
      <c r="AZ31" s="363"/>
      <c r="BA31" s="363"/>
      <c r="BB31" s="363"/>
      <c r="BC31" s="363"/>
      <c r="BD31" s="363"/>
      <c r="BE31" s="363"/>
      <c r="BF31" s="363"/>
      <c r="BG31" s="363"/>
      <c r="BH31" s="363"/>
      <c r="BI31" s="363"/>
      <c r="BJ31" s="363"/>
      <c r="BK31" s="363"/>
      <c r="BL31" s="363"/>
      <c r="BM31" s="363"/>
      <c r="BN31" s="363"/>
      <c r="BO31" s="363"/>
      <c r="BP31" s="363"/>
      <c r="BQ31" s="363"/>
      <c r="BR31" s="363"/>
      <c r="BS31" s="363"/>
      <c r="BT31" s="369"/>
      <c r="BU31" s="352"/>
      <c r="BV31" s="352"/>
      <c r="BW31" s="352"/>
      <c r="BX31" s="352"/>
      <c r="BY31" s="352"/>
      <c r="BZ31" s="352"/>
      <c r="CA31" s="352"/>
      <c r="CB31" s="352"/>
      <c r="CC31" s="352"/>
      <c r="CD31" s="352"/>
      <c r="CE31" s="352"/>
      <c r="CF31" s="352"/>
      <c r="CG31" s="352"/>
      <c r="CH31" s="352"/>
      <c r="CI31" s="352"/>
      <c r="CJ31" s="352"/>
      <c r="CK31" s="352"/>
      <c r="CL31" s="352"/>
      <c r="CM31" s="352"/>
      <c r="CN31" s="352"/>
      <c r="CO31" s="352"/>
      <c r="CP31" s="352"/>
      <c r="CQ31" s="352"/>
      <c r="CR31" s="353"/>
      <c r="CS31" s="358"/>
      <c r="CT31" s="359"/>
      <c r="CU31" s="359"/>
      <c r="CV31" s="359"/>
      <c r="CW31" s="359"/>
      <c r="CX31" s="359"/>
      <c r="CY31" s="359"/>
      <c r="CZ31" s="359"/>
      <c r="DA31" s="359"/>
      <c r="DB31" s="359"/>
      <c r="DC31" s="359"/>
      <c r="DD31" s="359"/>
      <c r="DE31" s="359"/>
      <c r="DF31" s="359"/>
      <c r="DG31" s="359"/>
      <c r="DH31" s="410"/>
      <c r="DI31" s="358"/>
      <c r="DJ31" s="359"/>
      <c r="DK31" s="359"/>
      <c r="DL31" s="359"/>
      <c r="DM31" s="359"/>
      <c r="DN31" s="359"/>
      <c r="DO31" s="359"/>
      <c r="DP31" s="410"/>
    </row>
    <row r="32" spans="1:122" ht="15.75" customHeight="1" thickBot="1" x14ac:dyDescent="0.3">
      <c r="A32" s="393" t="s">
        <v>89</v>
      </c>
      <c r="B32" s="389"/>
      <c r="C32" s="389"/>
      <c r="D32" s="356">
        <f>IF(D31="","",IF(D31=CS15,DE15,IF(D31=CS16,DE16,IF(D31=CS17,DE17,LOOKUP(D31,ArmoryRef!M2:M23,ArmoryRef!N2:N23)))))</f>
        <v>3</v>
      </c>
      <c r="E32" s="356"/>
      <c r="F32" s="401"/>
      <c r="G32" s="376"/>
      <c r="H32" s="377"/>
      <c r="I32" s="377"/>
      <c r="J32" s="377"/>
      <c r="K32" s="377"/>
      <c r="L32" s="377"/>
      <c r="M32" s="377"/>
      <c r="N32" s="377"/>
      <c r="O32" s="377"/>
      <c r="P32" s="377"/>
      <c r="Q32" s="377"/>
      <c r="R32" s="418"/>
      <c r="S32" s="455" t="s">
        <v>103</v>
      </c>
      <c r="T32" s="456"/>
      <c r="U32" s="457"/>
      <c r="V32" s="367"/>
      <c r="W32" s="454"/>
      <c r="X32" s="454"/>
      <c r="Y32" s="358"/>
      <c r="Z32" s="359"/>
      <c r="AA32" s="359"/>
      <c r="AB32" s="359"/>
      <c r="AC32" s="359"/>
      <c r="AD32" s="359"/>
      <c r="AE32" s="359"/>
      <c r="AF32" s="359"/>
      <c r="AG32" s="359"/>
      <c r="AH32" s="359"/>
      <c r="AI32" s="359"/>
      <c r="AJ32" s="261" t="str">
        <f>IF(AC32="","-",IF(LOOKUP(AC32,BoonRef!A$2:A$430,BoonRef!I$2:I$430)="None","-",LOOKUP(AC32,BoonRef!A$2:A$430,BoonRef!I$2:I$430)))</f>
        <v>-</v>
      </c>
      <c r="AK32" s="261" t="s">
        <v>98</v>
      </c>
      <c r="AL32" s="261" t="str">
        <f>IF(AC32="","-",IF(LOOKUP(AC32,BoonRef!A$2:A$430,BoonRef!M$2:M$430)=0,"-",LOOKUP(AC32,BoonRef!A$2:A$430,BoonRef!M$2:M$430)))</f>
        <v>-</v>
      </c>
      <c r="AM32" s="356" t="str">
        <f>IF(AC32="","-",IF(LOOKUP(AC32,BoonRef!A$2:A$430,BoonRef!N$2:N$430)="None","-",LOOKUP(AC32,BoonRef!A$2:A$430,BoonRef!N$2:N$430)))</f>
        <v>-</v>
      </c>
      <c r="AN32" s="356"/>
      <c r="AO32" s="356"/>
      <c r="AP32" s="356"/>
      <c r="AQ32" s="356"/>
      <c r="AR32" s="356"/>
      <c r="AS32" s="356"/>
      <c r="AT32" s="356"/>
      <c r="AU32" s="356"/>
      <c r="AV32" s="357"/>
      <c r="AW32" s="362"/>
      <c r="AX32" s="363"/>
      <c r="AY32" s="363"/>
      <c r="AZ32" s="363"/>
      <c r="BA32" s="363"/>
      <c r="BB32" s="363"/>
      <c r="BC32" s="363"/>
      <c r="BD32" s="363"/>
      <c r="BE32" s="363"/>
      <c r="BF32" s="363"/>
      <c r="BG32" s="363"/>
      <c r="BH32" s="363"/>
      <c r="BI32" s="363"/>
      <c r="BJ32" s="363"/>
      <c r="BK32" s="363"/>
      <c r="BL32" s="363"/>
      <c r="BM32" s="363"/>
      <c r="BN32" s="363"/>
      <c r="BO32" s="363"/>
      <c r="BP32" s="363"/>
      <c r="BQ32" s="363"/>
      <c r="BR32" s="363"/>
      <c r="BS32" s="363"/>
      <c r="BT32" s="369"/>
      <c r="BU32" s="352"/>
      <c r="BV32" s="352"/>
      <c r="BW32" s="352"/>
      <c r="BX32" s="352"/>
      <c r="BY32" s="352"/>
      <c r="BZ32" s="352"/>
      <c r="CA32" s="352"/>
      <c r="CB32" s="352"/>
      <c r="CC32" s="352"/>
      <c r="CD32" s="352"/>
      <c r="CE32" s="352"/>
      <c r="CF32" s="352"/>
      <c r="CG32" s="352"/>
      <c r="CH32" s="352"/>
      <c r="CI32" s="352"/>
      <c r="CJ32" s="352"/>
      <c r="CK32" s="352"/>
      <c r="CL32" s="352"/>
      <c r="CM32" s="352"/>
      <c r="CN32" s="352"/>
      <c r="CO32" s="352"/>
      <c r="CP32" s="352"/>
      <c r="CQ32" s="352"/>
      <c r="CR32" s="353"/>
      <c r="CS32" s="358"/>
      <c r="CT32" s="359"/>
      <c r="CU32" s="359"/>
      <c r="CV32" s="359"/>
      <c r="CW32" s="359"/>
      <c r="CX32" s="359"/>
      <c r="CY32" s="359"/>
      <c r="CZ32" s="359"/>
      <c r="DA32" s="359"/>
      <c r="DB32" s="359"/>
      <c r="DC32" s="359"/>
      <c r="DD32" s="359"/>
      <c r="DE32" s="359"/>
      <c r="DF32" s="359"/>
      <c r="DG32" s="359"/>
      <c r="DH32" s="410"/>
      <c r="DI32" s="358"/>
      <c r="DJ32" s="359"/>
      <c r="DK32" s="359"/>
      <c r="DL32" s="359"/>
      <c r="DM32" s="359"/>
      <c r="DN32" s="359"/>
      <c r="DO32" s="359"/>
      <c r="DP32" s="410"/>
    </row>
    <row r="33" spans="1:120" ht="15" customHeight="1" thickBot="1" x14ac:dyDescent="0.3">
      <c r="A33" s="393" t="s">
        <v>90</v>
      </c>
      <c r="B33" s="389"/>
      <c r="C33" s="389"/>
      <c r="D33" s="356">
        <f>IF(D31="","",IF(D31=CS15,DH15,IF(D31=CS16,DH16,IF(D31=CS17,DH17,LOOKUP(D31,ArmoryRef!M2:M23,ArmoryRef!O2:O23)))))</f>
        <v>1</v>
      </c>
      <c r="E33" s="356"/>
      <c r="F33" s="401"/>
      <c r="G33" s="392" t="s">
        <v>111</v>
      </c>
      <c r="H33" s="391"/>
      <c r="I33" s="391"/>
      <c r="J33" s="391"/>
      <c r="K33" s="391"/>
      <c r="L33" s="230" t="s">
        <v>361</v>
      </c>
      <c r="M33" s="391" t="s">
        <v>110</v>
      </c>
      <c r="N33" s="391"/>
      <c r="O33" s="391"/>
      <c r="P33" s="391"/>
      <c r="Q33" s="391"/>
      <c r="R33" s="231" t="s">
        <v>361</v>
      </c>
      <c r="S33" s="442" t="s">
        <v>60</v>
      </c>
      <c r="T33" s="443"/>
      <c r="U33" s="443"/>
      <c r="V33" s="443"/>
      <c r="W33" s="443"/>
      <c r="X33" s="443"/>
      <c r="Y33" s="358"/>
      <c r="Z33" s="359"/>
      <c r="AA33" s="359"/>
      <c r="AB33" s="359"/>
      <c r="AC33" s="359"/>
      <c r="AD33" s="359"/>
      <c r="AE33" s="359"/>
      <c r="AF33" s="359"/>
      <c r="AG33" s="359"/>
      <c r="AH33" s="359"/>
      <c r="AI33" s="359"/>
      <c r="AJ33" s="261" t="str">
        <f>IF(AC33="","-",IF(LOOKUP(AC33,BoonRef!A$2:A$430,BoonRef!I$2:I$430)="None","-",LOOKUP(AC33,BoonRef!A$2:A$430,BoonRef!I$2:I$430)))</f>
        <v>-</v>
      </c>
      <c r="AK33" s="261" t="s">
        <v>98</v>
      </c>
      <c r="AL33" s="261" t="str">
        <f>IF(AC33="","-",IF(LOOKUP(AC33,BoonRef!A$2:A$430,BoonRef!M$2:M$430)=0,"-",LOOKUP(AC33,BoonRef!A$2:A$430,BoonRef!M$2:M$430)))</f>
        <v>-</v>
      </c>
      <c r="AM33" s="356" t="str">
        <f>IF(AC33="","-",IF(LOOKUP(AC33,BoonRef!A$2:A$430,BoonRef!N$2:N$430)="None","-",LOOKUP(AC33,BoonRef!A$2:A$430,BoonRef!N$2:N$430)))</f>
        <v>-</v>
      </c>
      <c r="AN33" s="356"/>
      <c r="AO33" s="356"/>
      <c r="AP33" s="356"/>
      <c r="AQ33" s="356"/>
      <c r="AR33" s="356"/>
      <c r="AS33" s="356"/>
      <c r="AT33" s="356"/>
      <c r="AU33" s="356"/>
      <c r="AV33" s="357"/>
      <c r="AW33" s="362" t="s">
        <v>387</v>
      </c>
      <c r="AX33" s="363"/>
      <c r="AY33" s="363"/>
      <c r="AZ33" s="363"/>
      <c r="BA33" s="363"/>
      <c r="BB33" s="363"/>
      <c r="BC33" s="363"/>
      <c r="BD33" s="363"/>
      <c r="BE33" s="363"/>
      <c r="BF33" s="363"/>
      <c r="BG33" s="363"/>
      <c r="BH33" s="363"/>
      <c r="BI33" s="363"/>
      <c r="BJ33" s="363"/>
      <c r="BK33" s="363"/>
      <c r="BL33" s="363"/>
      <c r="BM33" s="363"/>
      <c r="BN33" s="363"/>
      <c r="BO33" s="363"/>
      <c r="BP33" s="363"/>
      <c r="BQ33" s="363"/>
      <c r="BR33" s="363"/>
      <c r="BS33" s="363"/>
      <c r="BT33" s="369"/>
      <c r="BU33" s="352"/>
      <c r="BV33" s="352"/>
      <c r="BW33" s="352"/>
      <c r="BX33" s="352"/>
      <c r="BY33" s="352"/>
      <c r="BZ33" s="352"/>
      <c r="CA33" s="352"/>
      <c r="CB33" s="352"/>
      <c r="CC33" s="352"/>
      <c r="CD33" s="352"/>
      <c r="CE33" s="352"/>
      <c r="CF33" s="352"/>
      <c r="CG33" s="352"/>
      <c r="CH33" s="352"/>
      <c r="CI33" s="352"/>
      <c r="CJ33" s="352"/>
      <c r="CK33" s="352"/>
      <c r="CL33" s="352"/>
      <c r="CM33" s="352"/>
      <c r="CN33" s="352"/>
      <c r="CO33" s="352"/>
      <c r="CP33" s="352"/>
      <c r="CQ33" s="352"/>
      <c r="CR33" s="353"/>
      <c r="CS33" s="358"/>
      <c r="CT33" s="359"/>
      <c r="CU33" s="359"/>
      <c r="CV33" s="359"/>
      <c r="CW33" s="359"/>
      <c r="CX33" s="359"/>
      <c r="CY33" s="359"/>
      <c r="CZ33" s="359"/>
      <c r="DA33" s="359"/>
      <c r="DB33" s="359"/>
      <c r="DC33" s="359"/>
      <c r="DD33" s="359"/>
      <c r="DE33" s="359"/>
      <c r="DF33" s="359"/>
      <c r="DG33" s="359"/>
      <c r="DH33" s="410"/>
      <c r="DI33" s="358"/>
      <c r="DJ33" s="359"/>
      <c r="DK33" s="359"/>
      <c r="DL33" s="359"/>
      <c r="DM33" s="359"/>
      <c r="DN33" s="359"/>
      <c r="DO33" s="359"/>
      <c r="DP33" s="410"/>
    </row>
    <row r="34" spans="1:120" x14ac:dyDescent="0.25">
      <c r="A34" s="393" t="s">
        <v>91</v>
      </c>
      <c r="B34" s="389"/>
      <c r="C34" s="389"/>
      <c r="D34" s="356">
        <f>IF(D31="","",IF(D31=CS15,DK15,IF(D31=CS16,DK16,IF(D31=CS17,DK17,LOOKUP(D31,ArmoryRef!M2:M23,ArmoryRef!P2:P23)))))</f>
        <v>0</v>
      </c>
      <c r="E34" s="356"/>
      <c r="F34" s="401"/>
      <c r="G34" s="393" t="s">
        <v>389</v>
      </c>
      <c r="H34" s="389"/>
      <c r="I34" s="389"/>
      <c r="J34" s="389"/>
      <c r="K34" s="389"/>
      <c r="L34" s="232" t="s">
        <v>361</v>
      </c>
      <c r="M34" s="389" t="s">
        <v>398</v>
      </c>
      <c r="N34" s="389"/>
      <c r="O34" s="389"/>
      <c r="P34" s="389"/>
      <c r="Q34" s="389"/>
      <c r="R34" s="233" t="s">
        <v>361</v>
      </c>
      <c r="S34" s="392" t="s">
        <v>101</v>
      </c>
      <c r="T34" s="391"/>
      <c r="U34" s="391"/>
      <c r="V34" s="462">
        <f>SUM(DotTracking!D4:O4,DotTracking!AB4:AM4,DotTracking!AZ4:BK4,DotTracking!BX4:CI4,DotTracking!CV4:DG4)</f>
        <v>2</v>
      </c>
      <c r="W34" s="462"/>
      <c r="X34" s="463"/>
      <c r="Y34" s="358"/>
      <c r="Z34" s="359"/>
      <c r="AA34" s="359"/>
      <c r="AB34" s="359"/>
      <c r="AC34" s="359"/>
      <c r="AD34" s="359"/>
      <c r="AE34" s="359"/>
      <c r="AF34" s="359"/>
      <c r="AG34" s="359"/>
      <c r="AH34" s="359"/>
      <c r="AI34" s="359"/>
      <c r="AJ34" s="261" t="str">
        <f>IF(AC34="","-",IF(LOOKUP(AC34,BoonRef!A$2:A$430,BoonRef!I$2:I$430)="None","-",LOOKUP(AC34,BoonRef!A$2:A$430,BoonRef!I$2:I$430)))</f>
        <v>-</v>
      </c>
      <c r="AK34" s="261" t="s">
        <v>98</v>
      </c>
      <c r="AL34" s="261" t="str">
        <f>IF(AC34="","-",IF(LOOKUP(AC34,BoonRef!A$2:A$430,BoonRef!M$2:M$430)=0,"-",LOOKUP(AC34,BoonRef!A$2:A$430,BoonRef!M$2:M$430)))</f>
        <v>-</v>
      </c>
      <c r="AM34" s="356" t="str">
        <f>IF(AC34="","-",IF(LOOKUP(AC34,BoonRef!A$2:A$430,BoonRef!N$2:N$430)="None","-",LOOKUP(AC34,BoonRef!A$2:A$430,BoonRef!N$2:N$430)))</f>
        <v>-</v>
      </c>
      <c r="AN34" s="356"/>
      <c r="AO34" s="356"/>
      <c r="AP34" s="356"/>
      <c r="AQ34" s="356"/>
      <c r="AR34" s="356"/>
      <c r="AS34" s="356"/>
      <c r="AT34" s="356"/>
      <c r="AU34" s="356"/>
      <c r="AV34" s="357"/>
      <c r="AW34" s="362"/>
      <c r="AX34" s="363"/>
      <c r="AY34" s="363"/>
      <c r="AZ34" s="363"/>
      <c r="BA34" s="363"/>
      <c r="BB34" s="363"/>
      <c r="BC34" s="363"/>
      <c r="BD34" s="363"/>
      <c r="BE34" s="363"/>
      <c r="BF34" s="363"/>
      <c r="BG34" s="363"/>
      <c r="BH34" s="363"/>
      <c r="BI34" s="363"/>
      <c r="BJ34" s="363"/>
      <c r="BK34" s="363"/>
      <c r="BL34" s="363"/>
      <c r="BM34" s="363"/>
      <c r="BN34" s="363"/>
      <c r="BO34" s="363"/>
      <c r="BP34" s="363"/>
      <c r="BQ34" s="363"/>
      <c r="BR34" s="363"/>
      <c r="BS34" s="363"/>
      <c r="BT34" s="369"/>
      <c r="BU34" s="352"/>
      <c r="BV34" s="352"/>
      <c r="BW34" s="352"/>
      <c r="BX34" s="352"/>
      <c r="BY34" s="352"/>
      <c r="BZ34" s="352"/>
      <c r="CA34" s="352"/>
      <c r="CB34" s="352"/>
      <c r="CC34" s="352"/>
      <c r="CD34" s="352"/>
      <c r="CE34" s="352"/>
      <c r="CF34" s="352"/>
      <c r="CG34" s="352"/>
      <c r="CH34" s="352"/>
      <c r="CI34" s="352"/>
      <c r="CJ34" s="352"/>
      <c r="CK34" s="352"/>
      <c r="CL34" s="352"/>
      <c r="CM34" s="352"/>
      <c r="CN34" s="352"/>
      <c r="CO34" s="352"/>
      <c r="CP34" s="352"/>
      <c r="CQ34" s="352"/>
      <c r="CR34" s="353"/>
      <c r="CS34" s="358"/>
      <c r="CT34" s="359"/>
      <c r="CU34" s="359"/>
      <c r="CV34" s="359"/>
      <c r="CW34" s="359"/>
      <c r="CX34" s="359"/>
      <c r="CY34" s="359"/>
      <c r="CZ34" s="359"/>
      <c r="DA34" s="359"/>
      <c r="DB34" s="359"/>
      <c r="DC34" s="359"/>
      <c r="DD34" s="359"/>
      <c r="DE34" s="359"/>
      <c r="DF34" s="359"/>
      <c r="DG34" s="359"/>
      <c r="DH34" s="410"/>
      <c r="DI34" s="358"/>
      <c r="DJ34" s="359"/>
      <c r="DK34" s="359"/>
      <c r="DL34" s="359"/>
      <c r="DM34" s="359"/>
      <c r="DN34" s="359"/>
      <c r="DO34" s="359"/>
      <c r="DP34" s="410"/>
    </row>
    <row r="35" spans="1:120" ht="15.75" customHeight="1" thickBot="1" x14ac:dyDescent="0.3">
      <c r="A35" s="396" t="s">
        <v>93</v>
      </c>
      <c r="B35" s="395"/>
      <c r="C35" s="395"/>
      <c r="D35" s="434">
        <f>IF(D31="","",IF(D31=CS15,DN15,IF(D31=CS16,DN16,IF(D31=CS17,DN17,LOOKUP(D31,ArmoryRef!M2:M23,ArmoryRef!Q2:Q23)))))</f>
        <v>-1</v>
      </c>
      <c r="E35" s="434"/>
      <c r="F35" s="474"/>
      <c r="G35" s="393" t="s">
        <v>108</v>
      </c>
      <c r="H35" s="389"/>
      <c r="I35" s="389"/>
      <c r="J35" s="389"/>
      <c r="K35" s="389"/>
      <c r="L35" s="232" t="s">
        <v>361</v>
      </c>
      <c r="M35" s="389" t="s">
        <v>109</v>
      </c>
      <c r="N35" s="389"/>
      <c r="O35" s="389"/>
      <c r="P35" s="389"/>
      <c r="Q35" s="389"/>
      <c r="R35" s="233" t="s">
        <v>361</v>
      </c>
      <c r="S35" s="452" t="s">
        <v>82</v>
      </c>
      <c r="T35" s="453"/>
      <c r="U35" s="388"/>
      <c r="V35" s="447">
        <f>V34^2</f>
        <v>4</v>
      </c>
      <c r="W35" s="448"/>
      <c r="X35" s="448"/>
      <c r="Y35" s="358"/>
      <c r="Z35" s="359"/>
      <c r="AA35" s="359"/>
      <c r="AB35" s="359"/>
      <c r="AC35" s="359"/>
      <c r="AD35" s="359"/>
      <c r="AE35" s="359"/>
      <c r="AF35" s="359"/>
      <c r="AG35" s="359"/>
      <c r="AH35" s="359"/>
      <c r="AI35" s="359"/>
      <c r="AJ35" s="261" t="str">
        <f>IF(AC35="","-",IF(LOOKUP(AC35,BoonRef!A$2:A$430,BoonRef!I$2:I$430)="None","-",LOOKUP(AC35,BoonRef!A$2:A$430,BoonRef!I$2:I$430)))</f>
        <v>-</v>
      </c>
      <c r="AK35" s="261" t="s">
        <v>98</v>
      </c>
      <c r="AL35" s="261" t="str">
        <f>IF(AC35="","-",IF(LOOKUP(AC35,BoonRef!A$2:A$430,BoonRef!M$2:M$430)=0,"-",LOOKUP(AC35,BoonRef!A$2:A$430,BoonRef!M$2:M$430)))</f>
        <v>-</v>
      </c>
      <c r="AM35" s="356" t="str">
        <f>IF(AC35="","-",IF(LOOKUP(AC35,BoonRef!A$2:A$430,BoonRef!N$2:N$430)="None","-",LOOKUP(AC35,BoonRef!A$2:A$430,BoonRef!N$2:N$430)))</f>
        <v>-</v>
      </c>
      <c r="AN35" s="356"/>
      <c r="AO35" s="356"/>
      <c r="AP35" s="356"/>
      <c r="AQ35" s="356"/>
      <c r="AR35" s="356"/>
      <c r="AS35" s="356"/>
      <c r="AT35" s="356"/>
      <c r="AU35" s="356"/>
      <c r="AV35" s="357"/>
      <c r="AW35" s="362" t="s">
        <v>387</v>
      </c>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9"/>
      <c r="BU35" s="352"/>
      <c r="BV35" s="352"/>
      <c r="BW35" s="352"/>
      <c r="BX35" s="352"/>
      <c r="BY35" s="352"/>
      <c r="BZ35" s="352"/>
      <c r="CA35" s="352"/>
      <c r="CB35" s="352"/>
      <c r="CC35" s="352"/>
      <c r="CD35" s="352"/>
      <c r="CE35" s="352"/>
      <c r="CF35" s="352"/>
      <c r="CG35" s="352"/>
      <c r="CH35" s="352"/>
      <c r="CI35" s="352"/>
      <c r="CJ35" s="352"/>
      <c r="CK35" s="352"/>
      <c r="CL35" s="352"/>
      <c r="CM35" s="352"/>
      <c r="CN35" s="352"/>
      <c r="CO35" s="352"/>
      <c r="CP35" s="352"/>
      <c r="CQ35" s="352"/>
      <c r="CR35" s="353"/>
      <c r="CS35" s="358"/>
      <c r="CT35" s="359"/>
      <c r="CU35" s="359"/>
      <c r="CV35" s="359"/>
      <c r="CW35" s="359"/>
      <c r="CX35" s="359"/>
      <c r="CY35" s="359"/>
      <c r="CZ35" s="359"/>
      <c r="DA35" s="359"/>
      <c r="DB35" s="359"/>
      <c r="DC35" s="359"/>
      <c r="DD35" s="359"/>
      <c r="DE35" s="359"/>
      <c r="DF35" s="359"/>
      <c r="DG35" s="359"/>
      <c r="DH35" s="410"/>
      <c r="DI35" s="358"/>
      <c r="DJ35" s="359"/>
      <c r="DK35" s="359"/>
      <c r="DL35" s="359"/>
      <c r="DM35" s="359"/>
      <c r="DN35" s="359"/>
      <c r="DO35" s="359"/>
      <c r="DP35" s="410"/>
    </row>
    <row r="36" spans="1:120" ht="15.75" customHeight="1" thickBot="1" x14ac:dyDescent="0.3">
      <c r="A36" s="323"/>
      <c r="B36" s="324"/>
      <c r="C36" s="324"/>
      <c r="D36" s="324"/>
      <c r="E36" s="324"/>
      <c r="F36" s="324"/>
      <c r="G36" s="393" t="s">
        <v>107</v>
      </c>
      <c r="H36" s="389"/>
      <c r="I36" s="389"/>
      <c r="J36" s="389"/>
      <c r="K36" s="389"/>
      <c r="L36" s="232" t="s">
        <v>361</v>
      </c>
      <c r="M36" s="389" t="s">
        <v>1051</v>
      </c>
      <c r="N36" s="389"/>
      <c r="O36" s="389"/>
      <c r="P36" s="389"/>
      <c r="Q36" s="389"/>
      <c r="R36" s="233" t="s">
        <v>361</v>
      </c>
      <c r="S36" s="444" t="s">
        <v>103</v>
      </c>
      <c r="T36" s="445"/>
      <c r="U36" s="446"/>
      <c r="V36" s="416"/>
      <c r="W36" s="449"/>
      <c r="X36" s="449"/>
      <c r="Y36" s="358"/>
      <c r="Z36" s="359"/>
      <c r="AA36" s="359"/>
      <c r="AB36" s="359"/>
      <c r="AC36" s="359"/>
      <c r="AD36" s="359"/>
      <c r="AE36" s="359"/>
      <c r="AF36" s="359"/>
      <c r="AG36" s="359"/>
      <c r="AH36" s="359"/>
      <c r="AI36" s="359"/>
      <c r="AJ36" s="261" t="str">
        <f>IF(AC36="","-",IF(LOOKUP(AC36,BoonRef!A$2:A$430,BoonRef!I$2:I$430)="None","-",LOOKUP(AC36,BoonRef!A$2:A$430,BoonRef!I$2:I$430)))</f>
        <v>-</v>
      </c>
      <c r="AK36" s="261" t="s">
        <v>98</v>
      </c>
      <c r="AL36" s="261" t="str">
        <f>IF(AC36="","-",IF(LOOKUP(AC36,BoonRef!A$2:A$430,BoonRef!M$2:M$430)=0,"-",LOOKUP(AC36,BoonRef!A$2:A$430,BoonRef!M$2:M$430)))</f>
        <v>-</v>
      </c>
      <c r="AM36" s="356" t="str">
        <f>IF(AC36="","-",IF(LOOKUP(AC36,BoonRef!A$2:A$430,BoonRef!N$2:N$430)="None","-",LOOKUP(AC36,BoonRef!A$2:A$430,BoonRef!N$2:N$430)))</f>
        <v>-</v>
      </c>
      <c r="AN36" s="356"/>
      <c r="AO36" s="356"/>
      <c r="AP36" s="356"/>
      <c r="AQ36" s="356"/>
      <c r="AR36" s="356"/>
      <c r="AS36" s="356"/>
      <c r="AT36" s="356"/>
      <c r="AU36" s="356"/>
      <c r="AV36" s="357"/>
      <c r="AW36" s="362"/>
      <c r="AX36" s="363"/>
      <c r="AY36" s="363"/>
      <c r="AZ36" s="363"/>
      <c r="BA36" s="363"/>
      <c r="BB36" s="363"/>
      <c r="BC36" s="363"/>
      <c r="BD36" s="363"/>
      <c r="BE36" s="363"/>
      <c r="BF36" s="363"/>
      <c r="BG36" s="363"/>
      <c r="BH36" s="363"/>
      <c r="BI36" s="363"/>
      <c r="BJ36" s="363"/>
      <c r="BK36" s="363"/>
      <c r="BL36" s="363"/>
      <c r="BM36" s="363"/>
      <c r="BN36" s="363"/>
      <c r="BO36" s="363"/>
      <c r="BP36" s="363"/>
      <c r="BQ36" s="363"/>
      <c r="BR36" s="363"/>
      <c r="BS36" s="363"/>
      <c r="BT36" s="369"/>
      <c r="BU36" s="352"/>
      <c r="BV36" s="352"/>
      <c r="BW36" s="352"/>
      <c r="BX36" s="352"/>
      <c r="BY36" s="352"/>
      <c r="BZ36" s="352"/>
      <c r="CA36" s="352"/>
      <c r="CB36" s="352"/>
      <c r="CC36" s="352"/>
      <c r="CD36" s="352"/>
      <c r="CE36" s="352"/>
      <c r="CF36" s="352"/>
      <c r="CG36" s="352"/>
      <c r="CH36" s="352"/>
      <c r="CI36" s="352"/>
      <c r="CJ36" s="352"/>
      <c r="CK36" s="352"/>
      <c r="CL36" s="352"/>
      <c r="CM36" s="352"/>
      <c r="CN36" s="352"/>
      <c r="CO36" s="352"/>
      <c r="CP36" s="352"/>
      <c r="CQ36" s="352"/>
      <c r="CR36" s="353"/>
      <c r="CS36" s="358"/>
      <c r="CT36" s="359"/>
      <c r="CU36" s="359"/>
      <c r="CV36" s="359"/>
      <c r="CW36" s="359"/>
      <c r="CX36" s="359"/>
      <c r="CY36" s="359"/>
      <c r="CZ36" s="359"/>
      <c r="DA36" s="359"/>
      <c r="DB36" s="359"/>
      <c r="DC36" s="359"/>
      <c r="DD36" s="359"/>
      <c r="DE36" s="359"/>
      <c r="DF36" s="359"/>
      <c r="DG36" s="359"/>
      <c r="DH36" s="410"/>
      <c r="DI36" s="358"/>
      <c r="DJ36" s="359"/>
      <c r="DK36" s="359"/>
      <c r="DL36" s="359"/>
      <c r="DM36" s="359"/>
      <c r="DN36" s="359"/>
      <c r="DO36" s="359"/>
      <c r="DP36" s="410"/>
    </row>
    <row r="37" spans="1:120" ht="15.75" thickBot="1" x14ac:dyDescent="0.3">
      <c r="A37" s="323"/>
      <c r="B37" s="324"/>
      <c r="C37" s="324"/>
      <c r="D37" s="324"/>
      <c r="E37" s="324"/>
      <c r="F37" s="324"/>
      <c r="G37" s="406" t="s">
        <v>412</v>
      </c>
      <c r="H37" s="407"/>
      <c r="I37" s="407"/>
      <c r="J37" s="407"/>
      <c r="K37" s="407"/>
      <c r="L37" s="232" t="s">
        <v>361</v>
      </c>
      <c r="M37" s="407" t="s">
        <v>426</v>
      </c>
      <c r="N37" s="407"/>
      <c r="O37" s="407"/>
      <c r="P37" s="407"/>
      <c r="Q37" s="407"/>
      <c r="R37" s="233" t="s">
        <v>360</v>
      </c>
      <c r="S37" s="442" t="s">
        <v>104</v>
      </c>
      <c r="T37" s="443"/>
      <c r="U37" s="443"/>
      <c r="V37" s="443"/>
      <c r="W37" s="443"/>
      <c r="X37" s="443"/>
      <c r="Y37" s="358"/>
      <c r="Z37" s="359"/>
      <c r="AA37" s="359"/>
      <c r="AB37" s="359"/>
      <c r="AC37" s="359"/>
      <c r="AD37" s="359"/>
      <c r="AE37" s="359"/>
      <c r="AF37" s="359"/>
      <c r="AG37" s="359"/>
      <c r="AH37" s="359"/>
      <c r="AI37" s="359"/>
      <c r="AJ37" s="261" t="str">
        <f>IF(AC37="","-",IF(LOOKUP(AC37,BoonRef!A$2:A$430,BoonRef!I$2:I$430)="None","-",LOOKUP(AC37,BoonRef!A$2:A$430,BoonRef!I$2:I$430)))</f>
        <v>-</v>
      </c>
      <c r="AK37" s="261" t="s">
        <v>98</v>
      </c>
      <c r="AL37" s="261" t="str">
        <f>IF(AC37="","-",IF(LOOKUP(AC37,BoonRef!A$2:A$430,BoonRef!M$2:M$430)=0,"-",LOOKUP(AC37,BoonRef!A$2:A$430,BoonRef!M$2:M$430)))</f>
        <v>-</v>
      </c>
      <c r="AM37" s="356" t="str">
        <f>IF(AC37="","-",IF(LOOKUP(AC37,BoonRef!A$2:A$430,BoonRef!N$2:N$430)="None","-",LOOKUP(AC37,BoonRef!A$2:A$430,BoonRef!N$2:N$430)))</f>
        <v>-</v>
      </c>
      <c r="AN37" s="356"/>
      <c r="AO37" s="356"/>
      <c r="AP37" s="356"/>
      <c r="AQ37" s="356"/>
      <c r="AR37" s="356"/>
      <c r="AS37" s="356"/>
      <c r="AT37" s="356"/>
      <c r="AU37" s="356"/>
      <c r="AV37" s="357"/>
      <c r="AW37" s="362" t="s">
        <v>387</v>
      </c>
      <c r="AX37" s="363"/>
      <c r="AY37" s="363"/>
      <c r="AZ37" s="363"/>
      <c r="BA37" s="363"/>
      <c r="BB37" s="363"/>
      <c r="BC37" s="363"/>
      <c r="BD37" s="363"/>
      <c r="BE37" s="363"/>
      <c r="BF37" s="363"/>
      <c r="BG37" s="363"/>
      <c r="BH37" s="363"/>
      <c r="BI37" s="363"/>
      <c r="BJ37" s="363"/>
      <c r="BK37" s="363"/>
      <c r="BL37" s="363"/>
      <c r="BM37" s="363"/>
      <c r="BN37" s="363"/>
      <c r="BO37" s="363"/>
      <c r="BP37" s="363"/>
      <c r="BQ37" s="363"/>
      <c r="BR37" s="363"/>
      <c r="BS37" s="363"/>
      <c r="BT37" s="369"/>
      <c r="BU37" s="352"/>
      <c r="BV37" s="352"/>
      <c r="BW37" s="352"/>
      <c r="BX37" s="352"/>
      <c r="BY37" s="352"/>
      <c r="BZ37" s="352"/>
      <c r="CA37" s="352"/>
      <c r="CB37" s="352"/>
      <c r="CC37" s="352"/>
      <c r="CD37" s="352"/>
      <c r="CE37" s="352"/>
      <c r="CF37" s="352"/>
      <c r="CG37" s="352"/>
      <c r="CH37" s="352"/>
      <c r="CI37" s="352"/>
      <c r="CJ37" s="352"/>
      <c r="CK37" s="352"/>
      <c r="CL37" s="352"/>
      <c r="CM37" s="352"/>
      <c r="CN37" s="352"/>
      <c r="CO37" s="352"/>
      <c r="CP37" s="352"/>
      <c r="CQ37" s="352"/>
      <c r="CR37" s="353"/>
      <c r="CS37" s="358"/>
      <c r="CT37" s="359"/>
      <c r="CU37" s="359"/>
      <c r="CV37" s="359"/>
      <c r="CW37" s="359"/>
      <c r="CX37" s="359"/>
      <c r="CY37" s="359"/>
      <c r="CZ37" s="359"/>
      <c r="DA37" s="359"/>
      <c r="DB37" s="359"/>
      <c r="DC37" s="359"/>
      <c r="DD37" s="359"/>
      <c r="DE37" s="359"/>
      <c r="DF37" s="359"/>
      <c r="DG37" s="359"/>
      <c r="DH37" s="410"/>
      <c r="DI37" s="358"/>
      <c r="DJ37" s="359"/>
      <c r="DK37" s="359"/>
      <c r="DL37" s="359"/>
      <c r="DM37" s="359"/>
      <c r="DN37" s="359"/>
      <c r="DO37" s="359"/>
      <c r="DP37" s="410"/>
    </row>
    <row r="38" spans="1:120" ht="15.75" customHeight="1" thickBot="1" x14ac:dyDescent="0.3">
      <c r="A38" s="323"/>
      <c r="B38" s="324"/>
      <c r="C38" s="324"/>
      <c r="D38" s="324"/>
      <c r="E38" s="324"/>
      <c r="F38" s="324"/>
      <c r="G38" s="408" t="s">
        <v>1023</v>
      </c>
      <c r="H38" s="402"/>
      <c r="I38" s="402"/>
      <c r="J38" s="402"/>
      <c r="K38" s="402"/>
      <c r="L38" s="234" t="s">
        <v>361</v>
      </c>
      <c r="M38" s="402" t="s">
        <v>1031</v>
      </c>
      <c r="N38" s="402"/>
      <c r="O38" s="402"/>
      <c r="P38" s="402"/>
      <c r="Q38" s="402"/>
      <c r="R38" s="235" t="s">
        <v>361</v>
      </c>
      <c r="S38" s="450" t="s">
        <v>106</v>
      </c>
      <c r="T38" s="451"/>
      <c r="U38" s="451"/>
      <c r="V38" s="370"/>
      <c r="W38" s="370"/>
      <c r="X38" s="397"/>
      <c r="Y38" s="358"/>
      <c r="Z38" s="359"/>
      <c r="AA38" s="359"/>
      <c r="AB38" s="359"/>
      <c r="AC38" s="359"/>
      <c r="AD38" s="359"/>
      <c r="AE38" s="359"/>
      <c r="AF38" s="359"/>
      <c r="AG38" s="359"/>
      <c r="AH38" s="359"/>
      <c r="AI38" s="359"/>
      <c r="AJ38" s="261" t="str">
        <f>IF(AC38="","-",IF(LOOKUP(AC38,BoonRef!A$2:A$430,BoonRef!I$2:I$430)="None","-",LOOKUP(AC38,BoonRef!A$2:A$430,BoonRef!I$2:I$430)))</f>
        <v>-</v>
      </c>
      <c r="AK38" s="261" t="s">
        <v>98</v>
      </c>
      <c r="AL38" s="261" t="str">
        <f>IF(AC38="","-",IF(LOOKUP(AC38,BoonRef!A$2:A$430,BoonRef!M$2:M$430)=0,"-",LOOKUP(AC38,BoonRef!A$2:A$430,BoonRef!M$2:M$430)))</f>
        <v>-</v>
      </c>
      <c r="AM38" s="356" t="str">
        <f>IF(AC38="","-",IF(LOOKUP(AC38,BoonRef!A$2:A$430,BoonRef!N$2:N$430)="None","-",LOOKUP(AC38,BoonRef!A$2:A$430,BoonRef!N$2:N$430)))</f>
        <v>-</v>
      </c>
      <c r="AN38" s="356"/>
      <c r="AO38" s="356"/>
      <c r="AP38" s="356"/>
      <c r="AQ38" s="356"/>
      <c r="AR38" s="356"/>
      <c r="AS38" s="356"/>
      <c r="AT38" s="356"/>
      <c r="AU38" s="356"/>
      <c r="AV38" s="357"/>
      <c r="AW38" s="362"/>
      <c r="AX38" s="363"/>
      <c r="AY38" s="363"/>
      <c r="AZ38" s="363"/>
      <c r="BA38" s="363"/>
      <c r="BB38" s="363"/>
      <c r="BC38" s="363"/>
      <c r="BD38" s="363"/>
      <c r="BE38" s="363"/>
      <c r="BF38" s="363"/>
      <c r="BG38" s="363"/>
      <c r="BH38" s="363"/>
      <c r="BI38" s="363"/>
      <c r="BJ38" s="363"/>
      <c r="BK38" s="363"/>
      <c r="BL38" s="363"/>
      <c r="BM38" s="363"/>
      <c r="BN38" s="363"/>
      <c r="BO38" s="363"/>
      <c r="BP38" s="363"/>
      <c r="BQ38" s="363"/>
      <c r="BR38" s="363"/>
      <c r="BS38" s="363"/>
      <c r="BT38" s="369"/>
      <c r="BU38" s="352"/>
      <c r="BV38" s="352"/>
      <c r="BW38" s="352"/>
      <c r="BX38" s="352"/>
      <c r="BY38" s="352"/>
      <c r="BZ38" s="352"/>
      <c r="CA38" s="352"/>
      <c r="CB38" s="352"/>
      <c r="CC38" s="352"/>
      <c r="CD38" s="352"/>
      <c r="CE38" s="352"/>
      <c r="CF38" s="352"/>
      <c r="CG38" s="352"/>
      <c r="CH38" s="352"/>
      <c r="CI38" s="352"/>
      <c r="CJ38" s="352"/>
      <c r="CK38" s="352"/>
      <c r="CL38" s="352"/>
      <c r="CM38" s="352"/>
      <c r="CN38" s="352"/>
      <c r="CO38" s="352"/>
      <c r="CP38" s="352"/>
      <c r="CQ38" s="352"/>
      <c r="CR38" s="353"/>
      <c r="CS38" s="358"/>
      <c r="CT38" s="359"/>
      <c r="CU38" s="359"/>
      <c r="CV38" s="359"/>
      <c r="CW38" s="359"/>
      <c r="CX38" s="359"/>
      <c r="CY38" s="359"/>
      <c r="CZ38" s="359"/>
      <c r="DA38" s="359"/>
      <c r="DB38" s="359"/>
      <c r="DC38" s="359"/>
      <c r="DD38" s="359"/>
      <c r="DE38" s="359"/>
      <c r="DF38" s="359"/>
      <c r="DG38" s="359"/>
      <c r="DH38" s="410"/>
      <c r="DI38" s="358"/>
      <c r="DJ38" s="359"/>
      <c r="DK38" s="359"/>
      <c r="DL38" s="359"/>
      <c r="DM38" s="359"/>
      <c r="DN38" s="359"/>
      <c r="DO38" s="359"/>
      <c r="DP38" s="410"/>
    </row>
    <row r="39" spans="1:120" ht="15" customHeight="1" x14ac:dyDescent="0.25">
      <c r="A39" s="323"/>
      <c r="B39" s="324"/>
      <c r="C39" s="324"/>
      <c r="D39" s="324"/>
      <c r="E39" s="324"/>
      <c r="F39" s="324"/>
      <c r="G39" s="324"/>
      <c r="H39" s="324"/>
      <c r="I39" s="324"/>
      <c r="J39" s="324"/>
      <c r="K39" s="324"/>
      <c r="L39" s="324"/>
      <c r="M39" s="324"/>
      <c r="N39" s="324"/>
      <c r="O39" s="324"/>
      <c r="P39" s="324"/>
      <c r="Q39" s="324"/>
      <c r="R39" s="324"/>
      <c r="S39" s="464" t="s">
        <v>103</v>
      </c>
      <c r="T39" s="465"/>
      <c r="U39" s="465"/>
      <c r="V39" s="356">
        <f>DotTracking!AE33</f>
        <v>0</v>
      </c>
      <c r="W39" s="356"/>
      <c r="X39" s="357"/>
      <c r="Y39" s="358"/>
      <c r="Z39" s="359"/>
      <c r="AA39" s="359"/>
      <c r="AB39" s="359"/>
      <c r="AC39" s="359"/>
      <c r="AD39" s="359"/>
      <c r="AE39" s="359"/>
      <c r="AF39" s="359"/>
      <c r="AG39" s="359"/>
      <c r="AH39" s="359"/>
      <c r="AI39" s="359"/>
      <c r="AJ39" s="261" t="str">
        <f>IF(AC39="","-",IF(LOOKUP(AC39,BoonRef!A$2:A$430,BoonRef!I$2:I$430)="None","-",LOOKUP(AC39,BoonRef!A$2:A$430,BoonRef!I$2:I$430)))</f>
        <v>-</v>
      </c>
      <c r="AK39" s="261" t="s">
        <v>98</v>
      </c>
      <c r="AL39" s="261" t="str">
        <f>IF(AC39="","-",IF(LOOKUP(AC39,BoonRef!A$2:A$430,BoonRef!M$2:M$430)=0,"-",LOOKUP(AC39,BoonRef!A$2:A$430,BoonRef!M$2:M$430)))</f>
        <v>-</v>
      </c>
      <c r="AM39" s="356" t="str">
        <f>IF(AC39="","-",IF(LOOKUP(AC39,BoonRef!A$2:A$430,BoonRef!N$2:N$430)="None","-",LOOKUP(AC39,BoonRef!A$2:A$430,BoonRef!N$2:N$430)))</f>
        <v>-</v>
      </c>
      <c r="AN39" s="356"/>
      <c r="AO39" s="356"/>
      <c r="AP39" s="356"/>
      <c r="AQ39" s="356"/>
      <c r="AR39" s="356"/>
      <c r="AS39" s="356"/>
      <c r="AT39" s="356"/>
      <c r="AU39" s="356"/>
      <c r="AV39" s="357"/>
      <c r="AW39" s="362" t="s">
        <v>387</v>
      </c>
      <c r="AX39" s="363"/>
      <c r="AY39" s="363"/>
      <c r="AZ39" s="363"/>
      <c r="BA39" s="363"/>
      <c r="BB39" s="363"/>
      <c r="BC39" s="363"/>
      <c r="BD39" s="363"/>
      <c r="BE39" s="363"/>
      <c r="BF39" s="363"/>
      <c r="BG39" s="363"/>
      <c r="BH39" s="363"/>
      <c r="BI39" s="363"/>
      <c r="BJ39" s="363"/>
      <c r="BK39" s="363"/>
      <c r="BL39" s="363"/>
      <c r="BM39" s="363"/>
      <c r="BN39" s="363"/>
      <c r="BO39" s="363"/>
      <c r="BP39" s="363"/>
      <c r="BQ39" s="363"/>
      <c r="BR39" s="363"/>
      <c r="BS39" s="363"/>
      <c r="BT39" s="369"/>
      <c r="BU39" s="352"/>
      <c r="BV39" s="352"/>
      <c r="BW39" s="352"/>
      <c r="BX39" s="352"/>
      <c r="BY39" s="352"/>
      <c r="BZ39" s="352"/>
      <c r="CA39" s="352"/>
      <c r="CB39" s="352"/>
      <c r="CC39" s="352"/>
      <c r="CD39" s="352"/>
      <c r="CE39" s="352"/>
      <c r="CF39" s="352"/>
      <c r="CG39" s="352"/>
      <c r="CH39" s="352"/>
      <c r="CI39" s="352"/>
      <c r="CJ39" s="352"/>
      <c r="CK39" s="352"/>
      <c r="CL39" s="352"/>
      <c r="CM39" s="352"/>
      <c r="CN39" s="352"/>
      <c r="CO39" s="352"/>
      <c r="CP39" s="352"/>
      <c r="CQ39" s="352"/>
      <c r="CR39" s="353"/>
      <c r="CS39" s="358"/>
      <c r="CT39" s="359"/>
      <c r="CU39" s="359"/>
      <c r="CV39" s="359"/>
      <c r="CW39" s="359"/>
      <c r="CX39" s="359"/>
      <c r="CY39" s="359"/>
      <c r="CZ39" s="359"/>
      <c r="DA39" s="359"/>
      <c r="DB39" s="359"/>
      <c r="DC39" s="359"/>
      <c r="DD39" s="359"/>
      <c r="DE39" s="359"/>
      <c r="DF39" s="359"/>
      <c r="DG39" s="359"/>
      <c r="DH39" s="410"/>
      <c r="DI39" s="358"/>
      <c r="DJ39" s="359"/>
      <c r="DK39" s="359"/>
      <c r="DL39" s="359"/>
      <c r="DM39" s="359"/>
      <c r="DN39" s="359"/>
      <c r="DO39" s="359"/>
      <c r="DP39" s="410"/>
    </row>
    <row r="40" spans="1:120" ht="15" customHeight="1" thickBot="1" x14ac:dyDescent="0.3">
      <c r="A40" s="323"/>
      <c r="B40" s="324"/>
      <c r="C40" s="324"/>
      <c r="D40" s="324"/>
      <c r="E40" s="324"/>
      <c r="F40" s="324"/>
      <c r="G40" s="324"/>
      <c r="H40" s="324"/>
      <c r="I40" s="324"/>
      <c r="J40" s="324"/>
      <c r="K40" s="324"/>
      <c r="L40" s="324"/>
      <c r="M40" s="324"/>
      <c r="N40" s="324"/>
      <c r="O40" s="324"/>
      <c r="P40" s="324"/>
      <c r="Q40" s="324"/>
      <c r="R40" s="324"/>
      <c r="S40" s="432" t="s">
        <v>32</v>
      </c>
      <c r="T40" s="433"/>
      <c r="U40" s="433"/>
      <c r="V40" s="434">
        <f>V38-V39</f>
        <v>0</v>
      </c>
      <c r="W40" s="434"/>
      <c r="X40" s="435"/>
      <c r="Y40" s="358"/>
      <c r="Z40" s="359"/>
      <c r="AA40" s="359"/>
      <c r="AB40" s="359"/>
      <c r="AC40" s="359"/>
      <c r="AD40" s="359"/>
      <c r="AE40" s="359"/>
      <c r="AF40" s="359"/>
      <c r="AG40" s="359"/>
      <c r="AH40" s="359"/>
      <c r="AI40" s="359"/>
      <c r="AJ40" s="261" t="str">
        <f>IF(AC40="","-",IF(LOOKUP(AC40,BoonRef!A$2:A$430,BoonRef!I$2:I$430)="None","-",LOOKUP(AC40,BoonRef!A$2:A$430,BoonRef!I$2:I$430)))</f>
        <v>-</v>
      </c>
      <c r="AK40" s="261" t="s">
        <v>98</v>
      </c>
      <c r="AL40" s="261" t="str">
        <f>IF(AC40="","-",IF(LOOKUP(AC40,BoonRef!A$2:A$430,BoonRef!M$2:M$430)=0,"-",LOOKUP(AC40,BoonRef!A$2:A$430,BoonRef!M$2:M$430)))</f>
        <v>-</v>
      </c>
      <c r="AM40" s="356" t="str">
        <f>IF(AC40="","-",IF(LOOKUP(AC40,BoonRef!A$2:A$430,BoonRef!N$2:N$430)="None","-",LOOKUP(AC40,BoonRef!A$2:A$430,BoonRef!N$2:N$430)))</f>
        <v>-</v>
      </c>
      <c r="AN40" s="356"/>
      <c r="AO40" s="356"/>
      <c r="AP40" s="356"/>
      <c r="AQ40" s="356"/>
      <c r="AR40" s="356"/>
      <c r="AS40" s="356"/>
      <c r="AT40" s="356"/>
      <c r="AU40" s="356"/>
      <c r="AV40" s="357"/>
      <c r="AW40" s="362"/>
      <c r="AX40" s="363"/>
      <c r="AY40" s="363"/>
      <c r="AZ40" s="363"/>
      <c r="BA40" s="363"/>
      <c r="BB40" s="363"/>
      <c r="BC40" s="363"/>
      <c r="BD40" s="363"/>
      <c r="BE40" s="363"/>
      <c r="BF40" s="363"/>
      <c r="BG40" s="363"/>
      <c r="BH40" s="363"/>
      <c r="BI40" s="363"/>
      <c r="BJ40" s="363"/>
      <c r="BK40" s="363"/>
      <c r="BL40" s="363"/>
      <c r="BM40" s="363"/>
      <c r="BN40" s="363"/>
      <c r="BO40" s="363"/>
      <c r="BP40" s="363"/>
      <c r="BQ40" s="363"/>
      <c r="BR40" s="363"/>
      <c r="BS40" s="363"/>
      <c r="BT40" s="369"/>
      <c r="BU40" s="352"/>
      <c r="BV40" s="352"/>
      <c r="BW40" s="352"/>
      <c r="BX40" s="352"/>
      <c r="BY40" s="352"/>
      <c r="BZ40" s="352"/>
      <c r="CA40" s="352"/>
      <c r="CB40" s="352"/>
      <c r="CC40" s="352"/>
      <c r="CD40" s="352"/>
      <c r="CE40" s="352"/>
      <c r="CF40" s="352"/>
      <c r="CG40" s="352"/>
      <c r="CH40" s="352"/>
      <c r="CI40" s="352"/>
      <c r="CJ40" s="352"/>
      <c r="CK40" s="352"/>
      <c r="CL40" s="352"/>
      <c r="CM40" s="352"/>
      <c r="CN40" s="352"/>
      <c r="CO40" s="352"/>
      <c r="CP40" s="352"/>
      <c r="CQ40" s="352"/>
      <c r="CR40" s="353"/>
      <c r="CS40" s="358"/>
      <c r="CT40" s="359"/>
      <c r="CU40" s="359"/>
      <c r="CV40" s="359"/>
      <c r="CW40" s="359"/>
      <c r="CX40" s="359"/>
      <c r="CY40" s="359"/>
      <c r="CZ40" s="359"/>
      <c r="DA40" s="359"/>
      <c r="DB40" s="359"/>
      <c r="DC40" s="359"/>
      <c r="DD40" s="359"/>
      <c r="DE40" s="359"/>
      <c r="DF40" s="359"/>
      <c r="DG40" s="359"/>
      <c r="DH40" s="410"/>
      <c r="DI40" s="358"/>
      <c r="DJ40" s="359"/>
      <c r="DK40" s="359"/>
      <c r="DL40" s="359"/>
      <c r="DM40" s="359"/>
      <c r="DN40" s="359"/>
      <c r="DO40" s="359"/>
      <c r="DP40" s="410"/>
    </row>
    <row r="41" spans="1:120" ht="15" customHeight="1" x14ac:dyDescent="0.25">
      <c r="A41" s="323"/>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58"/>
      <c r="Z41" s="359"/>
      <c r="AA41" s="359"/>
      <c r="AB41" s="359"/>
      <c r="AC41" s="359"/>
      <c r="AD41" s="359"/>
      <c r="AE41" s="359"/>
      <c r="AF41" s="359"/>
      <c r="AG41" s="359"/>
      <c r="AH41" s="359"/>
      <c r="AI41" s="359"/>
      <c r="AJ41" s="261" t="str">
        <f>IF(AC41="","-",IF(LOOKUP(AC41,BoonRef!A$2:A$430,BoonRef!I$2:I$430)="None","-",LOOKUP(AC41,BoonRef!A$2:A$430,BoonRef!I$2:I$430)))</f>
        <v>-</v>
      </c>
      <c r="AK41" s="261" t="s">
        <v>98</v>
      </c>
      <c r="AL41" s="261" t="str">
        <f>IF(AC41="","-",IF(LOOKUP(AC41,BoonRef!A$2:A$430,BoonRef!M$2:M$430)=0,"-",LOOKUP(AC41,BoonRef!A$2:A$430,BoonRef!M$2:M$430)))</f>
        <v>-</v>
      </c>
      <c r="AM41" s="356" t="str">
        <f>IF(AC41="","-",IF(LOOKUP(AC41,BoonRef!A$2:A$430,BoonRef!N$2:N$430)="None","-",LOOKUP(AC41,BoonRef!A$2:A$430,BoonRef!N$2:N$430)))</f>
        <v>-</v>
      </c>
      <c r="AN41" s="356"/>
      <c r="AO41" s="356"/>
      <c r="AP41" s="356"/>
      <c r="AQ41" s="356"/>
      <c r="AR41" s="356"/>
      <c r="AS41" s="356"/>
      <c r="AT41" s="356"/>
      <c r="AU41" s="356"/>
      <c r="AV41" s="357"/>
      <c r="AW41" s="362" t="s">
        <v>387</v>
      </c>
      <c r="AX41" s="363"/>
      <c r="AY41" s="363"/>
      <c r="AZ41" s="363"/>
      <c r="BA41" s="363"/>
      <c r="BB41" s="363"/>
      <c r="BC41" s="363"/>
      <c r="BD41" s="363"/>
      <c r="BE41" s="363"/>
      <c r="BF41" s="363"/>
      <c r="BG41" s="363"/>
      <c r="BH41" s="363"/>
      <c r="BI41" s="363"/>
      <c r="BJ41" s="363"/>
      <c r="BK41" s="363"/>
      <c r="BL41" s="363"/>
      <c r="BM41" s="363"/>
      <c r="BN41" s="363"/>
      <c r="BO41" s="363"/>
      <c r="BP41" s="363"/>
      <c r="BQ41" s="363"/>
      <c r="BR41" s="363"/>
      <c r="BS41" s="363"/>
      <c r="BT41" s="369"/>
      <c r="BU41" s="352"/>
      <c r="BV41" s="352"/>
      <c r="BW41" s="352"/>
      <c r="BX41" s="352"/>
      <c r="BY41" s="352"/>
      <c r="BZ41" s="352"/>
      <c r="CA41" s="352"/>
      <c r="CB41" s="352"/>
      <c r="CC41" s="352"/>
      <c r="CD41" s="352"/>
      <c r="CE41" s="352"/>
      <c r="CF41" s="352"/>
      <c r="CG41" s="352"/>
      <c r="CH41" s="352"/>
      <c r="CI41" s="352"/>
      <c r="CJ41" s="352"/>
      <c r="CK41" s="352"/>
      <c r="CL41" s="352"/>
      <c r="CM41" s="352"/>
      <c r="CN41" s="352"/>
      <c r="CO41" s="352"/>
      <c r="CP41" s="352"/>
      <c r="CQ41" s="352"/>
      <c r="CR41" s="353"/>
      <c r="CS41" s="358"/>
      <c r="CT41" s="359"/>
      <c r="CU41" s="359"/>
      <c r="CV41" s="359"/>
      <c r="CW41" s="359"/>
      <c r="CX41" s="359"/>
      <c r="CY41" s="359"/>
      <c r="CZ41" s="359"/>
      <c r="DA41" s="359"/>
      <c r="DB41" s="359"/>
      <c r="DC41" s="359"/>
      <c r="DD41" s="359"/>
      <c r="DE41" s="359"/>
      <c r="DF41" s="359"/>
      <c r="DG41" s="359"/>
      <c r="DH41" s="410"/>
      <c r="DI41" s="358"/>
      <c r="DJ41" s="359"/>
      <c r="DK41" s="359"/>
      <c r="DL41" s="359"/>
      <c r="DM41" s="359"/>
      <c r="DN41" s="359"/>
      <c r="DO41" s="359"/>
      <c r="DP41" s="410"/>
    </row>
    <row r="42" spans="1:120" ht="15" customHeight="1" x14ac:dyDescent="0.25">
      <c r="A42" s="323"/>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58"/>
      <c r="Z42" s="359"/>
      <c r="AA42" s="359"/>
      <c r="AB42" s="359"/>
      <c r="AC42" s="359"/>
      <c r="AD42" s="359"/>
      <c r="AE42" s="359"/>
      <c r="AF42" s="359"/>
      <c r="AG42" s="359"/>
      <c r="AH42" s="359"/>
      <c r="AI42" s="359"/>
      <c r="AJ42" s="261" t="str">
        <f>IF(AC42="","-",IF(LOOKUP(AC42,BoonRef!A$2:A$430,BoonRef!I$2:I$430)="None","-",LOOKUP(AC42,BoonRef!A$2:A$430,BoonRef!I$2:I$430)))</f>
        <v>-</v>
      </c>
      <c r="AK42" s="261" t="s">
        <v>98</v>
      </c>
      <c r="AL42" s="261" t="str">
        <f>IF(AC42="","-",IF(LOOKUP(AC42,BoonRef!A$2:A$430,BoonRef!M$2:M$430)=0,"-",LOOKUP(AC42,BoonRef!A$2:A$430,BoonRef!M$2:M$430)))</f>
        <v>-</v>
      </c>
      <c r="AM42" s="356" t="str">
        <f>IF(AC42="","-",IF(LOOKUP(AC42,BoonRef!A$2:A$430,BoonRef!N$2:N$430)="None","-",LOOKUP(AC42,BoonRef!A$2:A$430,BoonRef!N$2:N$430)))</f>
        <v>-</v>
      </c>
      <c r="AN42" s="356"/>
      <c r="AO42" s="356"/>
      <c r="AP42" s="356"/>
      <c r="AQ42" s="356"/>
      <c r="AR42" s="356"/>
      <c r="AS42" s="356"/>
      <c r="AT42" s="356"/>
      <c r="AU42" s="356"/>
      <c r="AV42" s="357"/>
      <c r="AW42" s="362"/>
      <c r="AX42" s="363"/>
      <c r="AY42" s="363"/>
      <c r="AZ42" s="363"/>
      <c r="BA42" s="363"/>
      <c r="BB42" s="363"/>
      <c r="BC42" s="363"/>
      <c r="BD42" s="363"/>
      <c r="BE42" s="363"/>
      <c r="BF42" s="363"/>
      <c r="BG42" s="363"/>
      <c r="BH42" s="363"/>
      <c r="BI42" s="363"/>
      <c r="BJ42" s="363"/>
      <c r="BK42" s="363"/>
      <c r="BL42" s="363"/>
      <c r="BM42" s="363"/>
      <c r="BN42" s="363"/>
      <c r="BO42" s="363"/>
      <c r="BP42" s="363"/>
      <c r="BQ42" s="363"/>
      <c r="BR42" s="363"/>
      <c r="BS42" s="363"/>
      <c r="BT42" s="369"/>
      <c r="BU42" s="352"/>
      <c r="BV42" s="352"/>
      <c r="BW42" s="352"/>
      <c r="BX42" s="352"/>
      <c r="BY42" s="352"/>
      <c r="BZ42" s="352"/>
      <c r="CA42" s="352"/>
      <c r="CB42" s="352"/>
      <c r="CC42" s="352"/>
      <c r="CD42" s="352"/>
      <c r="CE42" s="352"/>
      <c r="CF42" s="352"/>
      <c r="CG42" s="352"/>
      <c r="CH42" s="352"/>
      <c r="CI42" s="352"/>
      <c r="CJ42" s="352"/>
      <c r="CK42" s="352"/>
      <c r="CL42" s="352"/>
      <c r="CM42" s="352"/>
      <c r="CN42" s="352"/>
      <c r="CO42" s="352"/>
      <c r="CP42" s="352"/>
      <c r="CQ42" s="352"/>
      <c r="CR42" s="353"/>
      <c r="CS42" s="358"/>
      <c r="CT42" s="359"/>
      <c r="CU42" s="359"/>
      <c r="CV42" s="359"/>
      <c r="CW42" s="359"/>
      <c r="CX42" s="359"/>
      <c r="CY42" s="359"/>
      <c r="CZ42" s="359"/>
      <c r="DA42" s="359"/>
      <c r="DB42" s="359"/>
      <c r="DC42" s="359"/>
      <c r="DD42" s="359"/>
      <c r="DE42" s="359"/>
      <c r="DF42" s="359"/>
      <c r="DG42" s="359"/>
      <c r="DH42" s="410"/>
      <c r="DI42" s="358"/>
      <c r="DJ42" s="359"/>
      <c r="DK42" s="359"/>
      <c r="DL42" s="359"/>
      <c r="DM42" s="359"/>
      <c r="DN42" s="359"/>
      <c r="DO42" s="359"/>
      <c r="DP42" s="410"/>
    </row>
    <row r="43" spans="1:120" ht="15" customHeight="1" x14ac:dyDescent="0.25">
      <c r="A43" s="323"/>
      <c r="B43" s="324"/>
      <c r="C43" s="324"/>
      <c r="D43" s="324"/>
      <c r="E43" s="324"/>
      <c r="F43" s="324"/>
      <c r="G43" s="324"/>
      <c r="H43" s="324"/>
      <c r="I43" s="324"/>
      <c r="J43" s="324"/>
      <c r="K43" s="324"/>
      <c r="L43" s="324"/>
      <c r="M43" s="324"/>
      <c r="N43" s="324"/>
      <c r="O43" s="324"/>
      <c r="P43" s="324"/>
      <c r="Q43" s="324"/>
      <c r="R43" s="324"/>
      <c r="S43" s="324"/>
      <c r="T43" s="324"/>
      <c r="U43" s="324"/>
      <c r="V43" s="324"/>
      <c r="W43" s="324"/>
      <c r="X43" s="324"/>
      <c r="Y43" s="358"/>
      <c r="Z43" s="359"/>
      <c r="AA43" s="359"/>
      <c r="AB43" s="359"/>
      <c r="AC43" s="359"/>
      <c r="AD43" s="359"/>
      <c r="AE43" s="359"/>
      <c r="AF43" s="359"/>
      <c r="AG43" s="359"/>
      <c r="AH43" s="359"/>
      <c r="AI43" s="359"/>
      <c r="AJ43" s="261" t="str">
        <f>IF(AC43="","-",IF(LOOKUP(AC43,BoonRef!A$2:A$430,BoonRef!I$2:I$430)="None","-",LOOKUP(AC43,BoonRef!A$2:A$430,BoonRef!I$2:I$430)))</f>
        <v>-</v>
      </c>
      <c r="AK43" s="261" t="s">
        <v>98</v>
      </c>
      <c r="AL43" s="261" t="str">
        <f>IF(AC43="","-",IF(LOOKUP(AC43,BoonRef!A$2:A$430,BoonRef!M$2:M$430)=0,"-",LOOKUP(AC43,BoonRef!A$2:A$430,BoonRef!M$2:M$430)))</f>
        <v>-</v>
      </c>
      <c r="AM43" s="356" t="str">
        <f>IF(AC43="","-",IF(LOOKUP(AC43,BoonRef!A$2:A$430,BoonRef!N$2:N$430)="None","-",LOOKUP(AC43,BoonRef!A$2:A$430,BoonRef!N$2:N$430)))</f>
        <v>-</v>
      </c>
      <c r="AN43" s="356"/>
      <c r="AO43" s="356"/>
      <c r="AP43" s="356"/>
      <c r="AQ43" s="356"/>
      <c r="AR43" s="356"/>
      <c r="AS43" s="356"/>
      <c r="AT43" s="356"/>
      <c r="AU43" s="356"/>
      <c r="AV43" s="357"/>
      <c r="AW43" s="362" t="s">
        <v>387</v>
      </c>
      <c r="AX43" s="363"/>
      <c r="AY43" s="363"/>
      <c r="AZ43" s="363"/>
      <c r="BA43" s="363"/>
      <c r="BB43" s="363"/>
      <c r="BC43" s="363"/>
      <c r="BD43" s="363"/>
      <c r="BE43" s="363"/>
      <c r="BF43" s="363"/>
      <c r="BG43" s="363"/>
      <c r="BH43" s="363"/>
      <c r="BI43" s="363"/>
      <c r="BJ43" s="363"/>
      <c r="BK43" s="363"/>
      <c r="BL43" s="363"/>
      <c r="BM43" s="363"/>
      <c r="BN43" s="363"/>
      <c r="BO43" s="363"/>
      <c r="BP43" s="363"/>
      <c r="BQ43" s="363"/>
      <c r="BR43" s="363"/>
      <c r="BS43" s="363"/>
      <c r="BT43" s="369"/>
      <c r="BU43" s="352"/>
      <c r="BV43" s="352"/>
      <c r="BW43" s="352"/>
      <c r="BX43" s="352"/>
      <c r="BY43" s="352"/>
      <c r="BZ43" s="352"/>
      <c r="CA43" s="352"/>
      <c r="CB43" s="352"/>
      <c r="CC43" s="352"/>
      <c r="CD43" s="352"/>
      <c r="CE43" s="352"/>
      <c r="CF43" s="352"/>
      <c r="CG43" s="352"/>
      <c r="CH43" s="352"/>
      <c r="CI43" s="352"/>
      <c r="CJ43" s="352"/>
      <c r="CK43" s="352"/>
      <c r="CL43" s="352"/>
      <c r="CM43" s="352"/>
      <c r="CN43" s="352"/>
      <c r="CO43" s="352"/>
      <c r="CP43" s="352"/>
      <c r="CQ43" s="352"/>
      <c r="CR43" s="353"/>
      <c r="CS43" s="358"/>
      <c r="CT43" s="359"/>
      <c r="CU43" s="359"/>
      <c r="CV43" s="359"/>
      <c r="CW43" s="359"/>
      <c r="CX43" s="359"/>
      <c r="CY43" s="359"/>
      <c r="CZ43" s="359"/>
      <c r="DA43" s="359"/>
      <c r="DB43" s="359"/>
      <c r="DC43" s="359"/>
      <c r="DD43" s="359"/>
      <c r="DE43" s="359"/>
      <c r="DF43" s="359"/>
      <c r="DG43" s="359"/>
      <c r="DH43" s="410"/>
      <c r="DI43" s="358"/>
      <c r="DJ43" s="359"/>
      <c r="DK43" s="359"/>
      <c r="DL43" s="359"/>
      <c r="DM43" s="359"/>
      <c r="DN43" s="359"/>
      <c r="DO43" s="359"/>
      <c r="DP43" s="410"/>
    </row>
    <row r="44" spans="1:120" ht="15" customHeight="1" x14ac:dyDescent="0.25">
      <c r="A44" s="323"/>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58"/>
      <c r="Z44" s="359"/>
      <c r="AA44" s="359"/>
      <c r="AB44" s="359"/>
      <c r="AC44" s="359"/>
      <c r="AD44" s="359"/>
      <c r="AE44" s="359"/>
      <c r="AF44" s="359"/>
      <c r="AG44" s="359"/>
      <c r="AH44" s="359"/>
      <c r="AI44" s="359"/>
      <c r="AJ44" s="261" t="str">
        <f>IF(AC44="","-",IF(LOOKUP(AC44,BoonRef!A$2:A$430,BoonRef!I$2:I$430)="None","-",LOOKUP(AC44,BoonRef!A$2:A$430,BoonRef!I$2:I$430)))</f>
        <v>-</v>
      </c>
      <c r="AK44" s="261" t="s">
        <v>98</v>
      </c>
      <c r="AL44" s="261" t="str">
        <f>IF(AC44="","-",IF(LOOKUP(AC44,BoonRef!A$2:A$430,BoonRef!M$2:M$430)=0,"-",LOOKUP(AC44,BoonRef!A$2:A$430,BoonRef!M$2:M$430)))</f>
        <v>-</v>
      </c>
      <c r="AM44" s="356" t="str">
        <f>IF(AC44="","-",IF(LOOKUP(AC44,BoonRef!A$2:A$430,BoonRef!N$2:N$430)="None","-",LOOKUP(AC44,BoonRef!A$2:A$430,BoonRef!N$2:N$430)))</f>
        <v>-</v>
      </c>
      <c r="AN44" s="356"/>
      <c r="AO44" s="356"/>
      <c r="AP44" s="356"/>
      <c r="AQ44" s="356"/>
      <c r="AR44" s="356"/>
      <c r="AS44" s="356"/>
      <c r="AT44" s="356"/>
      <c r="AU44" s="356"/>
      <c r="AV44" s="357"/>
      <c r="AW44" s="362"/>
      <c r="AX44" s="363"/>
      <c r="AY44" s="363"/>
      <c r="AZ44" s="363"/>
      <c r="BA44" s="363"/>
      <c r="BB44" s="363"/>
      <c r="BC44" s="363"/>
      <c r="BD44" s="363"/>
      <c r="BE44" s="363"/>
      <c r="BF44" s="363"/>
      <c r="BG44" s="363"/>
      <c r="BH44" s="363"/>
      <c r="BI44" s="363"/>
      <c r="BJ44" s="363"/>
      <c r="BK44" s="363"/>
      <c r="BL44" s="363"/>
      <c r="BM44" s="363"/>
      <c r="BN44" s="363"/>
      <c r="BO44" s="363"/>
      <c r="BP44" s="363"/>
      <c r="BQ44" s="363"/>
      <c r="BR44" s="363"/>
      <c r="BS44" s="363"/>
      <c r="BT44" s="369"/>
      <c r="BU44" s="352"/>
      <c r="BV44" s="352"/>
      <c r="BW44" s="352"/>
      <c r="BX44" s="352"/>
      <c r="BY44" s="352"/>
      <c r="BZ44" s="352"/>
      <c r="CA44" s="352"/>
      <c r="CB44" s="352"/>
      <c r="CC44" s="352"/>
      <c r="CD44" s="352"/>
      <c r="CE44" s="352"/>
      <c r="CF44" s="352"/>
      <c r="CG44" s="352"/>
      <c r="CH44" s="352"/>
      <c r="CI44" s="352"/>
      <c r="CJ44" s="352"/>
      <c r="CK44" s="352"/>
      <c r="CL44" s="352"/>
      <c r="CM44" s="352"/>
      <c r="CN44" s="352"/>
      <c r="CO44" s="352"/>
      <c r="CP44" s="352"/>
      <c r="CQ44" s="352"/>
      <c r="CR44" s="353"/>
      <c r="CS44" s="358"/>
      <c r="CT44" s="359"/>
      <c r="CU44" s="359"/>
      <c r="CV44" s="359"/>
      <c r="CW44" s="359"/>
      <c r="CX44" s="359"/>
      <c r="CY44" s="359"/>
      <c r="CZ44" s="359"/>
      <c r="DA44" s="359"/>
      <c r="DB44" s="359"/>
      <c r="DC44" s="359"/>
      <c r="DD44" s="359"/>
      <c r="DE44" s="359"/>
      <c r="DF44" s="359"/>
      <c r="DG44" s="359"/>
      <c r="DH44" s="410"/>
      <c r="DI44" s="358"/>
      <c r="DJ44" s="359"/>
      <c r="DK44" s="359"/>
      <c r="DL44" s="359"/>
      <c r="DM44" s="359"/>
      <c r="DN44" s="359"/>
      <c r="DO44" s="359"/>
      <c r="DP44" s="410"/>
    </row>
    <row r="45" spans="1:120" ht="15" customHeight="1" x14ac:dyDescent="0.25">
      <c r="A45" s="323"/>
      <c r="B45" s="324"/>
      <c r="C45" s="324"/>
      <c r="D45" s="324"/>
      <c r="E45" s="324"/>
      <c r="F45" s="324"/>
      <c r="G45" s="324"/>
      <c r="H45" s="324"/>
      <c r="I45" s="324"/>
      <c r="J45" s="324"/>
      <c r="K45" s="324"/>
      <c r="L45" s="324"/>
      <c r="M45" s="324"/>
      <c r="N45" s="324"/>
      <c r="O45" s="324"/>
      <c r="P45" s="324"/>
      <c r="Q45" s="324"/>
      <c r="R45" s="324"/>
      <c r="S45" s="324"/>
      <c r="T45" s="324"/>
      <c r="U45" s="324"/>
      <c r="V45" s="324"/>
      <c r="W45" s="324"/>
      <c r="X45" s="324"/>
      <c r="Y45" s="358"/>
      <c r="Z45" s="359"/>
      <c r="AA45" s="359"/>
      <c r="AB45" s="359"/>
      <c r="AC45" s="359"/>
      <c r="AD45" s="359"/>
      <c r="AE45" s="359"/>
      <c r="AF45" s="359"/>
      <c r="AG45" s="359"/>
      <c r="AH45" s="359"/>
      <c r="AI45" s="359"/>
      <c r="AJ45" s="261" t="str">
        <f>IF(AC45="","-",IF(LOOKUP(AC45,BoonRef!A$2:A$430,BoonRef!I$2:I$430)="None","-",LOOKUP(AC45,BoonRef!A$2:A$430,BoonRef!I$2:I$430)))</f>
        <v>-</v>
      </c>
      <c r="AK45" s="261" t="s">
        <v>98</v>
      </c>
      <c r="AL45" s="261" t="str">
        <f>IF(AC45="","-",IF(LOOKUP(AC45,BoonRef!A$2:A$430,BoonRef!M$2:M$430)=0,"-",LOOKUP(AC45,BoonRef!A$2:A$430,BoonRef!M$2:M$430)))</f>
        <v>-</v>
      </c>
      <c r="AM45" s="356" t="str">
        <f>IF(AC45="","-",IF(LOOKUP(AC45,BoonRef!A$2:A$430,BoonRef!N$2:N$430)="None","-",LOOKUP(AC45,BoonRef!A$2:A$430,BoonRef!N$2:N$430)))</f>
        <v>-</v>
      </c>
      <c r="AN45" s="356"/>
      <c r="AO45" s="356"/>
      <c r="AP45" s="356"/>
      <c r="AQ45" s="356"/>
      <c r="AR45" s="356"/>
      <c r="AS45" s="356"/>
      <c r="AT45" s="356"/>
      <c r="AU45" s="356"/>
      <c r="AV45" s="357"/>
      <c r="AW45" s="362" t="s">
        <v>387</v>
      </c>
      <c r="AX45" s="363"/>
      <c r="AY45" s="363"/>
      <c r="AZ45" s="363"/>
      <c r="BA45" s="363"/>
      <c r="BB45" s="363"/>
      <c r="BC45" s="363"/>
      <c r="BD45" s="363"/>
      <c r="BE45" s="363"/>
      <c r="BF45" s="363"/>
      <c r="BG45" s="363"/>
      <c r="BH45" s="363"/>
      <c r="BI45" s="363"/>
      <c r="BJ45" s="363"/>
      <c r="BK45" s="363"/>
      <c r="BL45" s="363"/>
      <c r="BM45" s="363"/>
      <c r="BN45" s="363"/>
      <c r="BO45" s="363"/>
      <c r="BP45" s="363"/>
      <c r="BQ45" s="363"/>
      <c r="BR45" s="363"/>
      <c r="BS45" s="363"/>
      <c r="BT45" s="369"/>
      <c r="BU45" s="352"/>
      <c r="BV45" s="352"/>
      <c r="BW45" s="352"/>
      <c r="BX45" s="352"/>
      <c r="BY45" s="352"/>
      <c r="BZ45" s="352"/>
      <c r="CA45" s="352"/>
      <c r="CB45" s="352"/>
      <c r="CC45" s="352"/>
      <c r="CD45" s="352"/>
      <c r="CE45" s="352"/>
      <c r="CF45" s="352"/>
      <c r="CG45" s="352"/>
      <c r="CH45" s="352"/>
      <c r="CI45" s="352"/>
      <c r="CJ45" s="352"/>
      <c r="CK45" s="352"/>
      <c r="CL45" s="352"/>
      <c r="CM45" s="352"/>
      <c r="CN45" s="352"/>
      <c r="CO45" s="352"/>
      <c r="CP45" s="352"/>
      <c r="CQ45" s="352"/>
      <c r="CR45" s="353"/>
      <c r="CS45" s="358"/>
      <c r="CT45" s="359"/>
      <c r="CU45" s="359"/>
      <c r="CV45" s="359"/>
      <c r="CW45" s="359"/>
      <c r="CX45" s="359"/>
      <c r="CY45" s="359"/>
      <c r="CZ45" s="359"/>
      <c r="DA45" s="359"/>
      <c r="DB45" s="359"/>
      <c r="DC45" s="359"/>
      <c r="DD45" s="359"/>
      <c r="DE45" s="359"/>
      <c r="DF45" s="359"/>
      <c r="DG45" s="359"/>
      <c r="DH45" s="410"/>
      <c r="DI45" s="358"/>
      <c r="DJ45" s="359"/>
      <c r="DK45" s="359"/>
      <c r="DL45" s="359"/>
      <c r="DM45" s="359"/>
      <c r="DN45" s="359"/>
      <c r="DO45" s="359"/>
      <c r="DP45" s="410"/>
    </row>
    <row r="46" spans="1:120" ht="15.75" customHeight="1" thickBot="1" x14ac:dyDescent="0.3">
      <c r="A46" s="364"/>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516"/>
      <c r="Z46" s="415"/>
      <c r="AA46" s="415"/>
      <c r="AB46" s="415"/>
      <c r="AC46" s="415"/>
      <c r="AD46" s="415"/>
      <c r="AE46" s="415"/>
      <c r="AF46" s="415"/>
      <c r="AG46" s="415"/>
      <c r="AH46" s="415"/>
      <c r="AI46" s="415"/>
      <c r="AJ46" s="263" t="str">
        <f>IF(AC46="","-",IF(LOOKUP(AC46,BoonRef!A$2:A$430,BoonRef!I$2:I$430)="None","-",LOOKUP(AC46,BoonRef!A$2:A$430,BoonRef!I$2:I$430)))</f>
        <v>-</v>
      </c>
      <c r="AK46" s="263" t="s">
        <v>98</v>
      </c>
      <c r="AL46" s="263" t="str">
        <f>IF(AC46="","-",IF(LOOKUP(AC46,BoonRef!A$2:A$430,BoonRef!M$2:M$430)=0,"-",LOOKUP(AC46,BoonRef!A$2:A$430,BoonRef!M$2:M$430)))</f>
        <v>-</v>
      </c>
      <c r="AM46" s="434" t="str">
        <f>IF(AC46="","-",IF(LOOKUP(AC46,BoonRef!A$2:A$430,BoonRef!N$2:N$430)="None","-",LOOKUP(AC46,BoonRef!A$2:A$430,BoonRef!N$2:N$430)))</f>
        <v>-</v>
      </c>
      <c r="AN46" s="434"/>
      <c r="AO46" s="434"/>
      <c r="AP46" s="434"/>
      <c r="AQ46" s="434"/>
      <c r="AR46" s="434"/>
      <c r="AS46" s="434"/>
      <c r="AT46" s="434"/>
      <c r="AU46" s="434"/>
      <c r="AV46" s="435"/>
      <c r="AW46" s="368"/>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72"/>
      <c r="BU46" s="354"/>
      <c r="BV46" s="354"/>
      <c r="BW46" s="354"/>
      <c r="BX46" s="354"/>
      <c r="BY46" s="354"/>
      <c r="BZ46" s="354"/>
      <c r="CA46" s="354"/>
      <c r="CB46" s="354"/>
      <c r="CC46" s="354"/>
      <c r="CD46" s="354"/>
      <c r="CE46" s="354"/>
      <c r="CF46" s="354"/>
      <c r="CG46" s="354"/>
      <c r="CH46" s="354"/>
      <c r="CI46" s="354"/>
      <c r="CJ46" s="354"/>
      <c r="CK46" s="354"/>
      <c r="CL46" s="354"/>
      <c r="CM46" s="354"/>
      <c r="CN46" s="354"/>
      <c r="CO46" s="354"/>
      <c r="CP46" s="354"/>
      <c r="CQ46" s="354"/>
      <c r="CR46" s="355"/>
      <c r="CS46" s="516"/>
      <c r="CT46" s="415"/>
      <c r="CU46" s="415"/>
      <c r="CV46" s="415"/>
      <c r="CW46" s="415"/>
      <c r="CX46" s="415"/>
      <c r="CY46" s="415"/>
      <c r="CZ46" s="415"/>
      <c r="DA46" s="415"/>
      <c r="DB46" s="415"/>
      <c r="DC46" s="415"/>
      <c r="DD46" s="415"/>
      <c r="DE46" s="415"/>
      <c r="DF46" s="415"/>
      <c r="DG46" s="415"/>
      <c r="DH46" s="429"/>
      <c r="DI46" s="516"/>
      <c r="DJ46" s="415"/>
      <c r="DK46" s="415"/>
      <c r="DL46" s="415"/>
      <c r="DM46" s="415"/>
      <c r="DN46" s="415"/>
      <c r="DO46" s="415"/>
      <c r="DP46" s="429"/>
    </row>
  </sheetData>
  <sheetProtection password="E9C2" sheet="1" objects="1" scenarios="1" selectLockedCells="1"/>
  <mergeCells count="674">
    <mergeCell ref="AO7:AR7"/>
    <mergeCell ref="AS7:AV7"/>
    <mergeCell ref="S1:X1"/>
    <mergeCell ref="S2:X2"/>
    <mergeCell ref="E1:N1"/>
    <mergeCell ref="E2:N2"/>
    <mergeCell ref="BE25:BF26"/>
    <mergeCell ref="BG25:BT26"/>
    <mergeCell ref="AW22:BT23"/>
    <mergeCell ref="AW24:AY24"/>
    <mergeCell ref="AZ24:BD24"/>
    <mergeCell ref="BE24:BF24"/>
    <mergeCell ref="BG24:BT24"/>
    <mergeCell ref="BA18:BB18"/>
    <mergeCell ref="BL18:BM18"/>
    <mergeCell ref="BQ18:BR18"/>
    <mergeCell ref="BS18:BT18"/>
    <mergeCell ref="BA19:BB19"/>
    <mergeCell ref="BL19:BM19"/>
    <mergeCell ref="BS20:BT20"/>
    <mergeCell ref="BS12:BT12"/>
    <mergeCell ref="BA13:BB13"/>
    <mergeCell ref="BQ13:BR13"/>
    <mergeCell ref="BS13:BT13"/>
    <mergeCell ref="AW27:AY28"/>
    <mergeCell ref="AW29:AY30"/>
    <mergeCell ref="AW31:AY32"/>
    <mergeCell ref="AW33:AY34"/>
    <mergeCell ref="AW35:AY36"/>
    <mergeCell ref="AW37:AY38"/>
    <mergeCell ref="AW39:AY40"/>
    <mergeCell ref="AW41:AY42"/>
    <mergeCell ref="AW43:AY44"/>
    <mergeCell ref="AZ33:BD34"/>
    <mergeCell ref="BE33:BF34"/>
    <mergeCell ref="BG33:BT34"/>
    <mergeCell ref="AZ35:BD36"/>
    <mergeCell ref="AZ43:BD44"/>
    <mergeCell ref="BE43:BF44"/>
    <mergeCell ref="BG43:BT44"/>
    <mergeCell ref="AZ45:BD46"/>
    <mergeCell ref="BE45:BF46"/>
    <mergeCell ref="BG45:BT46"/>
    <mergeCell ref="AZ39:BD40"/>
    <mergeCell ref="BE39:BF40"/>
    <mergeCell ref="BG39:BT40"/>
    <mergeCell ref="AZ41:BD42"/>
    <mergeCell ref="BE41:BF42"/>
    <mergeCell ref="BG41:BT42"/>
    <mergeCell ref="AZ37:BD38"/>
    <mergeCell ref="BE37:BF38"/>
    <mergeCell ref="BG37:BT38"/>
    <mergeCell ref="BE35:BF36"/>
    <mergeCell ref="BG35:BT36"/>
    <mergeCell ref="AZ27:BD28"/>
    <mergeCell ref="BE27:BF28"/>
    <mergeCell ref="BG27:BT28"/>
    <mergeCell ref="AZ29:BD30"/>
    <mergeCell ref="BE29:BF30"/>
    <mergeCell ref="BG29:BT30"/>
    <mergeCell ref="AZ31:BD32"/>
    <mergeCell ref="BE31:BF32"/>
    <mergeCell ref="BG31:BT32"/>
    <mergeCell ref="Y45:AB45"/>
    <mergeCell ref="AC45:AI45"/>
    <mergeCell ref="AM45:AV45"/>
    <mergeCell ref="Y46:AB46"/>
    <mergeCell ref="AC46:AI46"/>
    <mergeCell ref="AM46:AV46"/>
    <mergeCell ref="AC41:AI41"/>
    <mergeCell ref="AM41:AV41"/>
    <mergeCell ref="Y42:AB42"/>
    <mergeCell ref="AC42:AI42"/>
    <mergeCell ref="AM42:AV42"/>
    <mergeCell ref="Y43:AB43"/>
    <mergeCell ref="AC43:AI43"/>
    <mergeCell ref="AM43:AV43"/>
    <mergeCell ref="Y44:AB44"/>
    <mergeCell ref="AC44:AI44"/>
    <mergeCell ref="AM44:AV44"/>
    <mergeCell ref="Y41:AB41"/>
    <mergeCell ref="AW45:AY46"/>
    <mergeCell ref="CS46:DH46"/>
    <mergeCell ref="DI46:DP46"/>
    <mergeCell ref="Y34:AB34"/>
    <mergeCell ref="AC34:AI34"/>
    <mergeCell ref="AM34:AV34"/>
    <mergeCell ref="Y35:AB35"/>
    <mergeCell ref="AC35:AI35"/>
    <mergeCell ref="AM35:AV35"/>
    <mergeCell ref="Y36:AB36"/>
    <mergeCell ref="AC36:AI36"/>
    <mergeCell ref="AM36:AV36"/>
    <mergeCell ref="Y37:AB37"/>
    <mergeCell ref="AC37:AI37"/>
    <mergeCell ref="AM37:AV37"/>
    <mergeCell ref="Y38:AB38"/>
    <mergeCell ref="AC38:AI38"/>
    <mergeCell ref="AM38:AV38"/>
    <mergeCell ref="Y39:AB39"/>
    <mergeCell ref="AC39:AI39"/>
    <mergeCell ref="AM39:AV39"/>
    <mergeCell ref="Y40:AB40"/>
    <mergeCell ref="AC40:AI40"/>
    <mergeCell ref="AM40:AV40"/>
    <mergeCell ref="CS41:DH41"/>
    <mergeCell ref="DI41:DP41"/>
    <mergeCell ref="CS42:DH42"/>
    <mergeCell ref="DI42:DP42"/>
    <mergeCell ref="CS43:DH43"/>
    <mergeCell ref="DI43:DP43"/>
    <mergeCell ref="CS44:DH44"/>
    <mergeCell ref="DI44:DP44"/>
    <mergeCell ref="CS45:DH45"/>
    <mergeCell ref="DI45:DP45"/>
    <mergeCell ref="E28:F28"/>
    <mergeCell ref="A29:C29"/>
    <mergeCell ref="Q24:R24"/>
    <mergeCell ref="G38:K38"/>
    <mergeCell ref="M37:Q37"/>
    <mergeCell ref="M38:Q38"/>
    <mergeCell ref="A25:C25"/>
    <mergeCell ref="D25:F25"/>
    <mergeCell ref="A26:C26"/>
    <mergeCell ref="D26:F26"/>
    <mergeCell ref="A31:C31"/>
    <mergeCell ref="D31:F31"/>
    <mergeCell ref="G29:K29"/>
    <mergeCell ref="G30:K30"/>
    <mergeCell ref="M29:Q29"/>
    <mergeCell ref="A27:C27"/>
    <mergeCell ref="D27:F27"/>
    <mergeCell ref="D34:F34"/>
    <mergeCell ref="A35:C35"/>
    <mergeCell ref="D35:F35"/>
    <mergeCell ref="A30:F30"/>
    <mergeCell ref="A33:C33"/>
    <mergeCell ref="D33:F33"/>
    <mergeCell ref="A34:C34"/>
    <mergeCell ref="CS39:DH39"/>
    <mergeCell ref="DI39:DP39"/>
    <mergeCell ref="CS40:DH40"/>
    <mergeCell ref="DI40:DP40"/>
    <mergeCell ref="CS34:DH34"/>
    <mergeCell ref="DI34:DP34"/>
    <mergeCell ref="CS35:DH35"/>
    <mergeCell ref="DI35:DP35"/>
    <mergeCell ref="CS36:DH36"/>
    <mergeCell ref="DI36:DP36"/>
    <mergeCell ref="CS37:DH37"/>
    <mergeCell ref="DI37:DP37"/>
    <mergeCell ref="CS38:DH38"/>
    <mergeCell ref="DI38:DP38"/>
    <mergeCell ref="DI30:DP30"/>
    <mergeCell ref="CS31:DH31"/>
    <mergeCell ref="DI31:DP31"/>
    <mergeCell ref="CS32:DH32"/>
    <mergeCell ref="DI32:DP32"/>
    <mergeCell ref="CS33:DH33"/>
    <mergeCell ref="DI33:DP33"/>
    <mergeCell ref="CV11:DA11"/>
    <mergeCell ref="DB11:DC11"/>
    <mergeCell ref="DE17:DG17"/>
    <mergeCell ref="DK17:DM17"/>
    <mergeCell ref="DN17:DP17"/>
    <mergeCell ref="CS26:DH26"/>
    <mergeCell ref="DI26:DP26"/>
    <mergeCell ref="CS27:DH27"/>
    <mergeCell ref="DI27:DP27"/>
    <mergeCell ref="CS28:DH28"/>
    <mergeCell ref="DI28:DP28"/>
    <mergeCell ref="CS29:DH29"/>
    <mergeCell ref="DI29:DP29"/>
    <mergeCell ref="CS30:DH30"/>
    <mergeCell ref="CS24:DH24"/>
    <mergeCell ref="DI24:DP24"/>
    <mergeCell ref="CS25:DH25"/>
    <mergeCell ref="DH12:DJ12"/>
    <mergeCell ref="DL12:DM12"/>
    <mergeCell ref="DN12:DO12"/>
    <mergeCell ref="CS15:CU15"/>
    <mergeCell ref="CS16:CU16"/>
    <mergeCell ref="DE15:DG15"/>
    <mergeCell ref="DK15:DM15"/>
    <mergeCell ref="DN15:DP15"/>
    <mergeCell ref="DE16:DG16"/>
    <mergeCell ref="DN13:DO13"/>
    <mergeCell ref="CS11:CU11"/>
    <mergeCell ref="CS1:DP2"/>
    <mergeCell ref="CV3:DA3"/>
    <mergeCell ref="CV9:DA9"/>
    <mergeCell ref="DE14:DG14"/>
    <mergeCell ref="DK14:DM14"/>
    <mergeCell ref="DN14:DP14"/>
    <mergeCell ref="CV4:DA4"/>
    <mergeCell ref="DB4:DC4"/>
    <mergeCell ref="DE4:DG4"/>
    <mergeCell ref="DH4:DJ4"/>
    <mergeCell ref="DL4:DM4"/>
    <mergeCell ref="DN4:DO4"/>
    <mergeCell ref="CV5:DA5"/>
    <mergeCell ref="DB5:DC5"/>
    <mergeCell ref="DE5:DG5"/>
    <mergeCell ref="DH5:DJ5"/>
    <mergeCell ref="DL5:DM5"/>
    <mergeCell ref="DE9:DG9"/>
    <mergeCell ref="DH9:DJ9"/>
    <mergeCell ref="DL9:DM9"/>
    <mergeCell ref="DN9:DO9"/>
    <mergeCell ref="CS10:CU10"/>
    <mergeCell ref="DH14:DJ14"/>
    <mergeCell ref="CS9:CU9"/>
    <mergeCell ref="DK16:DM16"/>
    <mergeCell ref="DH15:DJ15"/>
    <mergeCell ref="CV14:DD14"/>
    <mergeCell ref="CV15:DD15"/>
    <mergeCell ref="DE10:DG10"/>
    <mergeCell ref="DH10:DJ10"/>
    <mergeCell ref="DL10:DM10"/>
    <mergeCell ref="DB9:DC9"/>
    <mergeCell ref="CS13:CU13"/>
    <mergeCell ref="CV13:DA13"/>
    <mergeCell ref="DB13:DC13"/>
    <mergeCell ref="DE13:DG13"/>
    <mergeCell ref="DH13:DJ13"/>
    <mergeCell ref="DL13:DM13"/>
    <mergeCell ref="CV10:DA10"/>
    <mergeCell ref="DE11:DG11"/>
    <mergeCell ref="DH11:DJ11"/>
    <mergeCell ref="DL11:DM11"/>
    <mergeCell ref="CS12:CU12"/>
    <mergeCell ref="CV12:DA12"/>
    <mergeCell ref="DB12:DC12"/>
    <mergeCell ref="DE12:DG12"/>
    <mergeCell ref="CS4:CU4"/>
    <mergeCell ref="CS5:CU5"/>
    <mergeCell ref="CS3:CU3"/>
    <mergeCell ref="CS8:CU8"/>
    <mergeCell ref="CS14:CU14"/>
    <mergeCell ref="CS18:DH19"/>
    <mergeCell ref="DB10:DC10"/>
    <mergeCell ref="DN16:DP16"/>
    <mergeCell ref="DH16:DJ16"/>
    <mergeCell ref="DH17:DJ17"/>
    <mergeCell ref="CV16:DD16"/>
    <mergeCell ref="CV17:DD17"/>
    <mergeCell ref="CS17:CU17"/>
    <mergeCell ref="DB3:DC3"/>
    <mergeCell ref="DE3:DG3"/>
    <mergeCell ref="DH3:DJ3"/>
    <mergeCell ref="DL3:DM3"/>
    <mergeCell ref="DN3:DO3"/>
    <mergeCell ref="DN7:DO7"/>
    <mergeCell ref="CS6:CU6"/>
    <mergeCell ref="CS7:CU7"/>
    <mergeCell ref="DB6:DC6"/>
    <mergeCell ref="DE6:DG6"/>
    <mergeCell ref="DH6:DJ6"/>
    <mergeCell ref="AM8:AV8"/>
    <mergeCell ref="AM9:AV9"/>
    <mergeCell ref="AM10:AV10"/>
    <mergeCell ref="AM11:AV11"/>
    <mergeCell ref="AC7:AF7"/>
    <mergeCell ref="AG7:AJ7"/>
    <mergeCell ref="AK7:AN7"/>
    <mergeCell ref="DN5:DO5"/>
    <mergeCell ref="CV6:DA6"/>
    <mergeCell ref="DL6:DM6"/>
    <mergeCell ref="DN6:DO6"/>
    <mergeCell ref="CV7:DA7"/>
    <mergeCell ref="DB7:DC7"/>
    <mergeCell ref="DE7:DG7"/>
    <mergeCell ref="DH7:DJ7"/>
    <mergeCell ref="DL7:DM7"/>
    <mergeCell ref="DB8:DC8"/>
    <mergeCell ref="DE8:DG8"/>
    <mergeCell ref="DH8:DJ8"/>
    <mergeCell ref="DL8:DM8"/>
    <mergeCell ref="DN8:DO8"/>
    <mergeCell ref="DN10:DO10"/>
    <mergeCell ref="CV8:DA8"/>
    <mergeCell ref="DN11:DO11"/>
    <mergeCell ref="AW19:AZ19"/>
    <mergeCell ref="AW20:AZ20"/>
    <mergeCell ref="BA17:BB17"/>
    <mergeCell ref="BL17:BM17"/>
    <mergeCell ref="BQ17:BR17"/>
    <mergeCell ref="BS17:BT17"/>
    <mergeCell ref="BL16:BM16"/>
    <mergeCell ref="AW25:AY26"/>
    <mergeCell ref="Y1:AV2"/>
    <mergeCell ref="Y3:AE4"/>
    <mergeCell ref="Y5:AE6"/>
    <mergeCell ref="AF3:AV4"/>
    <mergeCell ref="AF5:AV6"/>
    <mergeCell ref="Y17:AB17"/>
    <mergeCell ref="Y18:AB18"/>
    <mergeCell ref="Y8:AB8"/>
    <mergeCell ref="Y9:AB9"/>
    <mergeCell ref="Y10:AB10"/>
    <mergeCell ref="Y11:AB11"/>
    <mergeCell ref="Y12:AB12"/>
    <mergeCell ref="Y13:AB13"/>
    <mergeCell ref="Y14:AB14"/>
    <mergeCell ref="Y15:AB15"/>
    <mergeCell ref="Y16:AB16"/>
    <mergeCell ref="BL20:BM20"/>
    <mergeCell ref="BQ20:BR20"/>
    <mergeCell ref="BA21:BB21"/>
    <mergeCell ref="BL21:BM21"/>
    <mergeCell ref="BQ10:BR10"/>
    <mergeCell ref="BS10:BT10"/>
    <mergeCell ref="BA11:BB11"/>
    <mergeCell ref="BL11:BM11"/>
    <mergeCell ref="BA16:BB16"/>
    <mergeCell ref="BQ21:BR21"/>
    <mergeCell ref="BS21:BT21"/>
    <mergeCell ref="BQ16:BR16"/>
    <mergeCell ref="BQ14:BR14"/>
    <mergeCell ref="BS14:BT14"/>
    <mergeCell ref="BL13:BM13"/>
    <mergeCell ref="BA12:BB12"/>
    <mergeCell ref="BL12:BM12"/>
    <mergeCell ref="BQ12:BR12"/>
    <mergeCell ref="BQ15:BR15"/>
    <mergeCell ref="BS15:BT15"/>
    <mergeCell ref="BA15:BB15"/>
    <mergeCell ref="BL15:BM15"/>
    <mergeCell ref="BA14:BB14"/>
    <mergeCell ref="BL14:BM14"/>
    <mergeCell ref="I8:L8"/>
    <mergeCell ref="O8:P8"/>
    <mergeCell ref="Q8:T8"/>
    <mergeCell ref="A7:D7"/>
    <mergeCell ref="G7:H7"/>
    <mergeCell ref="I7:L7"/>
    <mergeCell ref="O7:P7"/>
    <mergeCell ref="Q7:T7"/>
    <mergeCell ref="DI25:DP25"/>
    <mergeCell ref="AJ8:AL8"/>
    <mergeCell ref="DI21:DP21"/>
    <mergeCell ref="CS22:DH22"/>
    <mergeCell ref="DI22:DP22"/>
    <mergeCell ref="CS23:DH23"/>
    <mergeCell ref="DI23:DP23"/>
    <mergeCell ref="AM12:AV12"/>
    <mergeCell ref="AM13:AV13"/>
    <mergeCell ref="DI18:DP19"/>
    <mergeCell ref="CS20:DH20"/>
    <mergeCell ref="DI20:DP20"/>
    <mergeCell ref="CS21:DH21"/>
    <mergeCell ref="BQ19:BR19"/>
    <mergeCell ref="BS19:BT19"/>
    <mergeCell ref="BA20:BB20"/>
    <mergeCell ref="A1:D1"/>
    <mergeCell ref="O1:R1"/>
    <mergeCell ref="A2:D2"/>
    <mergeCell ref="O2:R2"/>
    <mergeCell ref="A6:D6"/>
    <mergeCell ref="G6:H6"/>
    <mergeCell ref="I6:L6"/>
    <mergeCell ref="O6:P6"/>
    <mergeCell ref="Q6:T6"/>
    <mergeCell ref="A3:X4"/>
    <mergeCell ref="G5:H5"/>
    <mergeCell ref="O5:P5"/>
    <mergeCell ref="W5:X5"/>
    <mergeCell ref="Q5:T5"/>
    <mergeCell ref="I5:L5"/>
    <mergeCell ref="A5:D5"/>
    <mergeCell ref="W6:X6"/>
    <mergeCell ref="A13:D13"/>
    <mergeCell ref="A12:D12"/>
    <mergeCell ref="M12:N12"/>
    <mergeCell ref="E11:F11"/>
    <mergeCell ref="E12:F12"/>
    <mergeCell ref="U11:V11"/>
    <mergeCell ref="Q11:T11"/>
    <mergeCell ref="O11:P11"/>
    <mergeCell ref="G11:H11"/>
    <mergeCell ref="I11:L11"/>
    <mergeCell ref="I12:L12"/>
    <mergeCell ref="I13:L13"/>
    <mergeCell ref="G12:H12"/>
    <mergeCell ref="O12:P12"/>
    <mergeCell ref="Q12:T12"/>
    <mergeCell ref="U12:V12"/>
    <mergeCell ref="A11:D11"/>
    <mergeCell ref="M11:N11"/>
    <mergeCell ref="W12:X12"/>
    <mergeCell ref="E13:F13"/>
    <mergeCell ref="G13:H13"/>
    <mergeCell ref="M13:N13"/>
    <mergeCell ref="Y7:AB7"/>
    <mergeCell ref="W17:X17"/>
    <mergeCell ref="E18:F18"/>
    <mergeCell ref="G18:H18"/>
    <mergeCell ref="O18:P18"/>
    <mergeCell ref="Q18:T18"/>
    <mergeCell ref="W16:X16"/>
    <mergeCell ref="E15:F15"/>
    <mergeCell ref="G15:H15"/>
    <mergeCell ref="M15:N15"/>
    <mergeCell ref="O15:P15"/>
    <mergeCell ref="Q15:T15"/>
    <mergeCell ref="U15:V15"/>
    <mergeCell ref="U13:V13"/>
    <mergeCell ref="W11:X11"/>
    <mergeCell ref="W7:X7"/>
    <mergeCell ref="W8:X8"/>
    <mergeCell ref="A9:X10"/>
    <mergeCell ref="A8:D8"/>
    <mergeCell ref="G8:H8"/>
    <mergeCell ref="A14:D14"/>
    <mergeCell ref="M14:N14"/>
    <mergeCell ref="I14:L14"/>
    <mergeCell ref="U18:V18"/>
    <mergeCell ref="W18:X18"/>
    <mergeCell ref="O17:P17"/>
    <mergeCell ref="Q17:T17"/>
    <mergeCell ref="U17:V17"/>
    <mergeCell ref="A18:D18"/>
    <mergeCell ref="M18:N18"/>
    <mergeCell ref="I17:L17"/>
    <mergeCell ref="I18:L18"/>
    <mergeCell ref="A17:D17"/>
    <mergeCell ref="A16:D16"/>
    <mergeCell ref="M16:N16"/>
    <mergeCell ref="I15:L15"/>
    <mergeCell ref="I16:L16"/>
    <mergeCell ref="A15:D15"/>
    <mergeCell ref="E17:F17"/>
    <mergeCell ref="E14:F14"/>
    <mergeCell ref="G14:H14"/>
    <mergeCell ref="O16:P16"/>
    <mergeCell ref="Q16:T16"/>
    <mergeCell ref="U16:V16"/>
    <mergeCell ref="A22:F23"/>
    <mergeCell ref="A19:D19"/>
    <mergeCell ref="E21:F21"/>
    <mergeCell ref="A21:D21"/>
    <mergeCell ref="A20:D20"/>
    <mergeCell ref="G21:H21"/>
    <mergeCell ref="M21:N21"/>
    <mergeCell ref="E16:F16"/>
    <mergeCell ref="G16:H16"/>
    <mergeCell ref="E20:F20"/>
    <mergeCell ref="G20:H20"/>
    <mergeCell ref="E19:F19"/>
    <mergeCell ref="G19:H19"/>
    <mergeCell ref="M19:N19"/>
    <mergeCell ref="I19:L19"/>
    <mergeCell ref="M20:N20"/>
    <mergeCell ref="I20:L20"/>
    <mergeCell ref="I21:L21"/>
    <mergeCell ref="M33:Q33"/>
    <mergeCell ref="J25:K25"/>
    <mergeCell ref="O24:P24"/>
    <mergeCell ref="J26:K26"/>
    <mergeCell ref="J24:K24"/>
    <mergeCell ref="S26:T26"/>
    <mergeCell ref="S25:T25"/>
    <mergeCell ref="L25:O25"/>
    <mergeCell ref="S24:X24"/>
    <mergeCell ref="S27:T27"/>
    <mergeCell ref="S28:T28"/>
    <mergeCell ref="S40:U40"/>
    <mergeCell ref="V40:X40"/>
    <mergeCell ref="M36:Q36"/>
    <mergeCell ref="G27:R28"/>
    <mergeCell ref="S33:X33"/>
    <mergeCell ref="G37:K37"/>
    <mergeCell ref="G36:K36"/>
    <mergeCell ref="M35:Q35"/>
    <mergeCell ref="S36:U36"/>
    <mergeCell ref="V35:X35"/>
    <mergeCell ref="V36:X36"/>
    <mergeCell ref="S38:U38"/>
    <mergeCell ref="S35:U35"/>
    <mergeCell ref="V32:X32"/>
    <mergeCell ref="S32:U32"/>
    <mergeCell ref="V31:X31"/>
    <mergeCell ref="S31:U31"/>
    <mergeCell ref="S37:X37"/>
    <mergeCell ref="G35:K35"/>
    <mergeCell ref="V34:X34"/>
    <mergeCell ref="G31:R32"/>
    <mergeCell ref="V38:X38"/>
    <mergeCell ref="S39:U39"/>
    <mergeCell ref="V39:X39"/>
    <mergeCell ref="AW4:AZ4"/>
    <mergeCell ref="AW5:AZ5"/>
    <mergeCell ref="S22:X23"/>
    <mergeCell ref="S34:U34"/>
    <mergeCell ref="M30:Q30"/>
    <mergeCell ref="P26:Q26"/>
    <mergeCell ref="G33:K33"/>
    <mergeCell ref="M34:Q34"/>
    <mergeCell ref="S30:U30"/>
    <mergeCell ref="G34:K34"/>
    <mergeCell ref="G22:R23"/>
    <mergeCell ref="O14:P14"/>
    <mergeCell ref="Q14:T14"/>
    <mergeCell ref="U14:V14"/>
    <mergeCell ref="W14:X14"/>
    <mergeCell ref="W19:X19"/>
    <mergeCell ref="G17:H17"/>
    <mergeCell ref="M17:N17"/>
    <mergeCell ref="O13:P13"/>
    <mergeCell ref="Q13:T13"/>
    <mergeCell ref="W15:X15"/>
    <mergeCell ref="W13:X13"/>
    <mergeCell ref="O21:P21"/>
    <mergeCell ref="Q21:T21"/>
    <mergeCell ref="AW1:BN2"/>
    <mergeCell ref="BO1:BT2"/>
    <mergeCell ref="BQ3:BR3"/>
    <mergeCell ref="BS3:BT3"/>
    <mergeCell ref="BA3:BB3"/>
    <mergeCell ref="BD3:BF3"/>
    <mergeCell ref="BG3:BI3"/>
    <mergeCell ref="BL3:BM3"/>
    <mergeCell ref="AW3:AZ3"/>
    <mergeCell ref="BL5:BM5"/>
    <mergeCell ref="BQ5:BR5"/>
    <mergeCell ref="BS5:BT5"/>
    <mergeCell ref="BA6:BB6"/>
    <mergeCell ref="BL6:BM6"/>
    <mergeCell ref="BQ4:BR4"/>
    <mergeCell ref="BS4:BT4"/>
    <mergeCell ref="BA5:BB5"/>
    <mergeCell ref="BA4:BB4"/>
    <mergeCell ref="BL4:BM4"/>
    <mergeCell ref="BQ7:BR7"/>
    <mergeCell ref="BS7:BT7"/>
    <mergeCell ref="BA8:BB8"/>
    <mergeCell ref="BL8:BM8"/>
    <mergeCell ref="BQ8:BR8"/>
    <mergeCell ref="BQ6:BR6"/>
    <mergeCell ref="BS6:BT6"/>
    <mergeCell ref="BA7:BB7"/>
    <mergeCell ref="BL7:BM7"/>
    <mergeCell ref="BA10:BB10"/>
    <mergeCell ref="BL10:BM10"/>
    <mergeCell ref="BS8:BT8"/>
    <mergeCell ref="BA9:BB9"/>
    <mergeCell ref="BL9:BM9"/>
    <mergeCell ref="BQ9:BR9"/>
    <mergeCell ref="BS9:BT9"/>
    <mergeCell ref="BQ11:BR11"/>
    <mergeCell ref="BS11:BT11"/>
    <mergeCell ref="Y19:AB19"/>
    <mergeCell ref="Y20:AB20"/>
    <mergeCell ref="AM20:AV20"/>
    <mergeCell ref="Y21:AB21"/>
    <mergeCell ref="O20:P20"/>
    <mergeCell ref="Q20:T20"/>
    <mergeCell ref="U20:V20"/>
    <mergeCell ref="W20:X20"/>
    <mergeCell ref="Y24:AB24"/>
    <mergeCell ref="O19:P19"/>
    <mergeCell ref="Q19:T19"/>
    <mergeCell ref="U19:V19"/>
    <mergeCell ref="U21:V21"/>
    <mergeCell ref="W21:X21"/>
    <mergeCell ref="Y28:AB28"/>
    <mergeCell ref="Y29:AB29"/>
    <mergeCell ref="AM21:AV21"/>
    <mergeCell ref="AM22:AV22"/>
    <mergeCell ref="AM26:AV26"/>
    <mergeCell ref="AM27:AV27"/>
    <mergeCell ref="AM28:AV28"/>
    <mergeCell ref="AM29:AV29"/>
    <mergeCell ref="AC28:AI28"/>
    <mergeCell ref="AC29:AI29"/>
    <mergeCell ref="AC25:AI25"/>
    <mergeCell ref="AC26:AI26"/>
    <mergeCell ref="AC27:AI27"/>
    <mergeCell ref="Y30:AB30"/>
    <mergeCell ref="Y31:AB31"/>
    <mergeCell ref="Y32:AB32"/>
    <mergeCell ref="Y22:AB22"/>
    <mergeCell ref="Y23:AB23"/>
    <mergeCell ref="AC33:AI33"/>
    <mergeCell ref="A28:D28"/>
    <mergeCell ref="A32:C32"/>
    <mergeCell ref="D32:F32"/>
    <mergeCell ref="L26:O26"/>
    <mergeCell ref="P25:Q25"/>
    <mergeCell ref="G24:I24"/>
    <mergeCell ref="G25:I25"/>
    <mergeCell ref="L24:N24"/>
    <mergeCell ref="G26:I26"/>
    <mergeCell ref="S29:T29"/>
    <mergeCell ref="A24:F24"/>
    <mergeCell ref="AC30:AI30"/>
    <mergeCell ref="AC22:AI22"/>
    <mergeCell ref="AC23:AI23"/>
    <mergeCell ref="AC24:AI24"/>
    <mergeCell ref="Y25:AB25"/>
    <mergeCell ref="Y26:AB26"/>
    <mergeCell ref="Y27:AB27"/>
    <mergeCell ref="AW13:AZ13"/>
    <mergeCell ref="AW14:AZ14"/>
    <mergeCell ref="AW15:AZ15"/>
    <mergeCell ref="CO3:CR3"/>
    <mergeCell ref="CO4:CR4"/>
    <mergeCell ref="CO5:CR5"/>
    <mergeCell ref="BU1:CR2"/>
    <mergeCell ref="BU18:CR19"/>
    <mergeCell ref="BU6:CR7"/>
    <mergeCell ref="BU4:BX4"/>
    <mergeCell ref="BU3:BX3"/>
    <mergeCell ref="CC3:CF3"/>
    <mergeCell ref="CC4:CF4"/>
    <mergeCell ref="BU5:BX5"/>
    <mergeCell ref="CC5:CF5"/>
    <mergeCell ref="CK3:CN3"/>
    <mergeCell ref="CK4:CN4"/>
    <mergeCell ref="CK5:CN5"/>
    <mergeCell ref="BY3:CB3"/>
    <mergeCell ref="BY4:CB4"/>
    <mergeCell ref="CG3:CJ3"/>
    <mergeCell ref="CG4:CJ4"/>
    <mergeCell ref="BY5:CB5"/>
    <mergeCell ref="BU8:CR17"/>
    <mergeCell ref="A36:F46"/>
    <mergeCell ref="G39:R46"/>
    <mergeCell ref="S41:X46"/>
    <mergeCell ref="AC31:AI31"/>
    <mergeCell ref="AC32:AI32"/>
    <mergeCell ref="CG5:CJ5"/>
    <mergeCell ref="AW21:AZ21"/>
    <mergeCell ref="AM30:AV30"/>
    <mergeCell ref="AM32:AV32"/>
    <mergeCell ref="BS16:BT16"/>
    <mergeCell ref="AW6:AZ6"/>
    <mergeCell ref="AW7:AZ7"/>
    <mergeCell ref="AW8:AZ8"/>
    <mergeCell ref="AW9:AZ9"/>
    <mergeCell ref="AW10:AZ10"/>
    <mergeCell ref="AW11:AZ11"/>
    <mergeCell ref="AM31:AV31"/>
    <mergeCell ref="AM23:AV23"/>
    <mergeCell ref="AM24:AV24"/>
    <mergeCell ref="AM25:AV25"/>
    <mergeCell ref="AM14:AV14"/>
    <mergeCell ref="AM15:AV15"/>
    <mergeCell ref="AM16:AV16"/>
    <mergeCell ref="AW12:AZ12"/>
    <mergeCell ref="BU20:CR46"/>
    <mergeCell ref="AM33:AV33"/>
    <mergeCell ref="AM19:AV19"/>
    <mergeCell ref="Y33:AB33"/>
    <mergeCell ref="AC8:AI8"/>
    <mergeCell ref="AC9:AI9"/>
    <mergeCell ref="AC10:AI10"/>
    <mergeCell ref="AC11:AI11"/>
    <mergeCell ref="AC12:AI12"/>
    <mergeCell ref="AC13:AI13"/>
    <mergeCell ref="AC14:AI14"/>
    <mergeCell ref="AC15:AI15"/>
    <mergeCell ref="AC16:AI16"/>
    <mergeCell ref="AC17:AI17"/>
    <mergeCell ref="AC18:AI18"/>
    <mergeCell ref="AC19:AI19"/>
    <mergeCell ref="AC20:AI20"/>
    <mergeCell ref="AC21:AI21"/>
    <mergeCell ref="AW16:AZ16"/>
    <mergeCell ref="AW17:AZ17"/>
    <mergeCell ref="AW18:AZ18"/>
    <mergeCell ref="AM17:AV17"/>
    <mergeCell ref="AM18:AV18"/>
    <mergeCell ref="AZ25:BD26"/>
  </mergeCells>
  <dataValidations count="8">
    <dataValidation type="list" allowBlank="1" showInputMessage="1" showErrorMessage="1" sqref="Q12:T21">
      <formula1>Special</formula1>
    </dataValidation>
    <dataValidation type="list" allowBlank="1" showInputMessage="1" showErrorMessage="1" sqref="AW27 AW29 AW31 AW33 AW35 AW37 AW39 AW41 AW43 AW45 AW25">
      <formula1>Birthrights</formula1>
    </dataValidation>
    <dataValidation type="list" allowBlank="1" showInputMessage="1" showErrorMessage="1" sqref="R33:R38 L33:L38">
      <formula1>Test</formula1>
    </dataValidation>
    <dataValidation type="list" allowBlank="1" showInputMessage="1" showErrorMessage="1" sqref="AW4:AW21">
      <formula1>Weapon</formula1>
    </dataValidation>
    <dataValidation type="list" allowBlank="1" showInputMessage="1" showErrorMessage="1" sqref="DB4:DC13">
      <formula1>weaptype</formula1>
    </dataValidation>
    <dataValidation type="list" allowBlank="1" showInputMessage="1" showErrorMessage="1" sqref="D31:F31">
      <formula1>Armor</formula1>
    </dataValidation>
    <dataValidation type="list" allowBlank="1" showInputMessage="1" showErrorMessage="1" sqref="AC9:AI46">
      <formula1>INDIRECT(Y9)</formula1>
    </dataValidation>
    <dataValidation type="list" allowBlank="1" showInputMessage="1" showErrorMessage="1" sqref="Y10:Y46">
      <formula1>Purviews</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BW648"/>
  <sheetViews>
    <sheetView tabSelected="1" view="pageBreakPreview" zoomScale="75" zoomScaleNormal="100" zoomScaleSheetLayoutView="75" workbookViewId="0">
      <selection activeCell="A7" sqref="A7:G7"/>
    </sheetView>
  </sheetViews>
  <sheetFormatPr defaultRowHeight="15" x14ac:dyDescent="0.25"/>
  <cols>
    <col min="1" max="50" width="3.7109375" style="28" customWidth="1"/>
    <col min="51" max="75" width="3.7109375" style="270" customWidth="1"/>
    <col min="76" max="16384" width="9.140625" style="28"/>
  </cols>
  <sheetData>
    <row r="1" spans="1:50" ht="15" customHeight="1" x14ac:dyDescent="0.25">
      <c r="A1" s="548" t="s">
        <v>70</v>
      </c>
      <c r="B1" s="547"/>
      <c r="C1" s="547"/>
      <c r="D1" s="547"/>
      <c r="E1" s="547"/>
      <c r="F1" s="547"/>
      <c r="G1" s="547"/>
      <c r="H1" s="547" t="s">
        <v>71</v>
      </c>
      <c r="I1" s="547"/>
      <c r="J1" s="547" t="s">
        <v>1813</v>
      </c>
      <c r="K1" s="547"/>
      <c r="L1" s="547"/>
      <c r="M1" s="547"/>
      <c r="N1" s="547"/>
      <c r="O1" s="547"/>
      <c r="P1" s="547"/>
      <c r="Q1" s="547"/>
      <c r="R1" s="547"/>
      <c r="S1" s="547"/>
      <c r="T1" s="547"/>
      <c r="U1" s="547"/>
      <c r="V1" s="547"/>
      <c r="W1" s="547"/>
      <c r="X1" s="547"/>
      <c r="Y1" s="556"/>
      <c r="Z1" s="548" t="s">
        <v>961</v>
      </c>
      <c r="AA1" s="547"/>
      <c r="AB1" s="547"/>
      <c r="AC1" s="547"/>
      <c r="AD1" s="547"/>
      <c r="AE1" s="547" t="s">
        <v>139</v>
      </c>
      <c r="AF1" s="547"/>
      <c r="AG1" s="539" t="s">
        <v>1814</v>
      </c>
      <c r="AH1" s="540"/>
      <c r="AI1" s="540"/>
      <c r="AJ1" s="540"/>
      <c r="AK1" s="540"/>
      <c r="AL1" s="540"/>
      <c r="AM1" s="540"/>
      <c r="AN1" s="540"/>
      <c r="AO1" s="540"/>
      <c r="AP1" s="540"/>
      <c r="AQ1" s="540"/>
      <c r="AR1" s="540"/>
      <c r="AS1" s="540"/>
      <c r="AT1" s="540"/>
      <c r="AU1" s="540"/>
      <c r="AV1" s="540"/>
      <c r="AW1" s="540"/>
      <c r="AX1" s="541"/>
    </row>
    <row r="2" spans="1:50" ht="15" customHeight="1" x14ac:dyDescent="0.25">
      <c r="A2" s="545" t="s">
        <v>959</v>
      </c>
      <c r="B2" s="546"/>
      <c r="C2" s="546"/>
      <c r="D2" s="546"/>
      <c r="E2" s="546"/>
      <c r="F2" s="546"/>
      <c r="G2" s="546"/>
      <c r="H2" s="546" t="s">
        <v>139</v>
      </c>
      <c r="I2" s="546"/>
      <c r="J2" s="546"/>
      <c r="K2" s="546"/>
      <c r="L2" s="546"/>
      <c r="M2" s="546"/>
      <c r="N2" s="546"/>
      <c r="O2" s="546"/>
      <c r="P2" s="546"/>
      <c r="Q2" s="546"/>
      <c r="R2" s="546"/>
      <c r="S2" s="546"/>
      <c r="T2" s="546"/>
      <c r="U2" s="546"/>
      <c r="V2" s="546"/>
      <c r="W2" s="546"/>
      <c r="X2" s="546"/>
      <c r="Y2" s="557"/>
      <c r="Z2" s="545" t="s">
        <v>962</v>
      </c>
      <c r="AA2" s="546"/>
      <c r="AB2" s="546"/>
      <c r="AC2" s="546"/>
      <c r="AD2" s="546"/>
      <c r="AE2" s="546" t="s">
        <v>960</v>
      </c>
      <c r="AF2" s="546"/>
      <c r="AG2" s="542"/>
      <c r="AH2" s="543"/>
      <c r="AI2" s="543"/>
      <c r="AJ2" s="543"/>
      <c r="AK2" s="543"/>
      <c r="AL2" s="543"/>
      <c r="AM2" s="543"/>
      <c r="AN2" s="543"/>
      <c r="AO2" s="543"/>
      <c r="AP2" s="543"/>
      <c r="AQ2" s="543"/>
      <c r="AR2" s="543"/>
      <c r="AS2" s="543"/>
      <c r="AT2" s="543"/>
      <c r="AU2" s="543"/>
      <c r="AV2" s="543"/>
      <c r="AW2" s="543"/>
      <c r="AX2" s="544"/>
    </row>
    <row r="3" spans="1:50" ht="15.75" customHeight="1" x14ac:dyDescent="0.25">
      <c r="A3" s="545"/>
      <c r="B3" s="546"/>
      <c r="C3" s="546"/>
      <c r="D3" s="546"/>
      <c r="E3" s="546"/>
      <c r="F3" s="546"/>
      <c r="G3" s="546"/>
      <c r="H3" s="546" t="s">
        <v>960</v>
      </c>
      <c r="I3" s="546"/>
      <c r="J3" s="546"/>
      <c r="K3" s="546"/>
      <c r="L3" s="546"/>
      <c r="M3" s="546"/>
      <c r="N3" s="546"/>
      <c r="O3" s="546"/>
      <c r="P3" s="546"/>
      <c r="Q3" s="546"/>
      <c r="R3" s="546"/>
      <c r="S3" s="546"/>
      <c r="T3" s="546"/>
      <c r="U3" s="546"/>
      <c r="V3" s="546"/>
      <c r="W3" s="546"/>
      <c r="X3" s="546"/>
      <c r="Y3" s="557"/>
      <c r="Z3" s="545"/>
      <c r="AA3" s="546"/>
      <c r="AB3" s="546"/>
      <c r="AC3" s="546"/>
      <c r="AD3" s="546"/>
      <c r="AE3" s="546"/>
      <c r="AF3" s="546"/>
      <c r="AG3" s="542"/>
      <c r="AH3" s="543"/>
      <c r="AI3" s="543"/>
      <c r="AJ3" s="543"/>
      <c r="AK3" s="543"/>
      <c r="AL3" s="543"/>
      <c r="AM3" s="543"/>
      <c r="AN3" s="543"/>
      <c r="AO3" s="543"/>
      <c r="AP3" s="543"/>
      <c r="AQ3" s="543"/>
      <c r="AR3" s="543"/>
      <c r="AS3" s="543"/>
      <c r="AT3" s="543"/>
      <c r="AU3" s="543"/>
      <c r="AV3" s="543"/>
      <c r="AW3" s="543"/>
      <c r="AX3" s="544"/>
    </row>
    <row r="4" spans="1:50" ht="15" customHeight="1" x14ac:dyDescent="0.25">
      <c r="A4" s="545" t="s">
        <v>963</v>
      </c>
      <c r="B4" s="546"/>
      <c r="C4" s="546"/>
      <c r="D4" s="546"/>
      <c r="E4" s="546"/>
      <c r="F4" s="546"/>
      <c r="G4" s="546"/>
      <c r="H4" s="546"/>
      <c r="I4" s="546"/>
      <c r="J4" s="546"/>
      <c r="K4" s="546"/>
      <c r="L4" s="546"/>
      <c r="M4" s="546"/>
      <c r="N4" s="546"/>
      <c r="O4" s="546"/>
      <c r="P4" s="546"/>
      <c r="Q4" s="546"/>
      <c r="R4" s="546"/>
      <c r="S4" s="546"/>
      <c r="T4" s="546"/>
      <c r="U4" s="546"/>
      <c r="V4" s="546"/>
      <c r="W4" s="546"/>
      <c r="X4" s="546"/>
      <c r="Y4" s="557"/>
      <c r="Z4" s="549" t="s">
        <v>33</v>
      </c>
      <c r="AA4" s="550"/>
      <c r="AB4" s="550"/>
      <c r="AC4" s="550"/>
      <c r="AD4" s="550"/>
      <c r="AE4" s="550"/>
      <c r="AF4" s="551"/>
      <c r="AG4" s="542"/>
      <c r="AH4" s="543"/>
      <c r="AI4" s="543"/>
      <c r="AJ4" s="543"/>
      <c r="AK4" s="543"/>
      <c r="AL4" s="543"/>
      <c r="AM4" s="543"/>
      <c r="AN4" s="543"/>
      <c r="AO4" s="543"/>
      <c r="AP4" s="543"/>
      <c r="AQ4" s="543"/>
      <c r="AR4" s="543"/>
      <c r="AS4" s="543"/>
      <c r="AT4" s="543"/>
      <c r="AU4" s="543"/>
      <c r="AV4" s="543"/>
      <c r="AW4" s="543"/>
      <c r="AX4" s="544"/>
    </row>
    <row r="5" spans="1:50" ht="15" customHeight="1" x14ac:dyDescent="0.25">
      <c r="A5" s="545" t="s">
        <v>33</v>
      </c>
      <c r="B5" s="546"/>
      <c r="C5" s="546"/>
      <c r="D5" s="546"/>
      <c r="E5" s="546"/>
      <c r="F5" s="546"/>
      <c r="G5" s="546"/>
      <c r="H5" s="546"/>
      <c r="I5" s="546"/>
      <c r="J5" s="546"/>
      <c r="K5" s="546"/>
      <c r="L5" s="546"/>
      <c r="M5" s="546"/>
      <c r="N5" s="546"/>
      <c r="O5" s="546"/>
      <c r="P5" s="546"/>
      <c r="Q5" s="546"/>
      <c r="R5" s="546"/>
      <c r="S5" s="546"/>
      <c r="T5" s="546"/>
      <c r="U5" s="546"/>
      <c r="V5" s="546"/>
      <c r="W5" s="546"/>
      <c r="X5" s="546"/>
      <c r="Y5" s="557"/>
      <c r="Z5" s="552"/>
      <c r="AA5" s="543"/>
      <c r="AB5" s="543"/>
      <c r="AC5" s="543"/>
      <c r="AD5" s="543"/>
      <c r="AE5" s="543"/>
      <c r="AF5" s="553"/>
      <c r="AG5" s="542"/>
      <c r="AH5" s="543"/>
      <c r="AI5" s="543"/>
      <c r="AJ5" s="543"/>
      <c r="AK5" s="543"/>
      <c r="AL5" s="543"/>
      <c r="AM5" s="543"/>
      <c r="AN5" s="543"/>
      <c r="AO5" s="543"/>
      <c r="AP5" s="543"/>
      <c r="AQ5" s="543"/>
      <c r="AR5" s="543"/>
      <c r="AS5" s="543"/>
      <c r="AT5" s="543"/>
      <c r="AU5" s="543"/>
      <c r="AV5" s="543"/>
      <c r="AW5" s="543"/>
      <c r="AX5" s="544"/>
    </row>
    <row r="6" spans="1:50" ht="15" customHeight="1" thickBot="1" x14ac:dyDescent="0.3">
      <c r="A6" s="554"/>
      <c r="B6" s="555"/>
      <c r="C6" s="555"/>
      <c r="D6" s="555"/>
      <c r="E6" s="555"/>
      <c r="F6" s="555"/>
      <c r="G6" s="555"/>
      <c r="H6" s="555"/>
      <c r="I6" s="555"/>
      <c r="J6" s="555"/>
      <c r="K6" s="555"/>
      <c r="L6" s="555"/>
      <c r="M6" s="555"/>
      <c r="N6" s="555"/>
      <c r="O6" s="555"/>
      <c r="P6" s="555"/>
      <c r="Q6" s="555"/>
      <c r="R6" s="555"/>
      <c r="S6" s="555"/>
      <c r="T6" s="555"/>
      <c r="U6" s="555"/>
      <c r="V6" s="555"/>
      <c r="W6" s="555"/>
      <c r="X6" s="555"/>
      <c r="Y6" s="558"/>
      <c r="Z6" s="552"/>
      <c r="AA6" s="543"/>
      <c r="AB6" s="543"/>
      <c r="AC6" s="543"/>
      <c r="AD6" s="543"/>
      <c r="AE6" s="543"/>
      <c r="AF6" s="553"/>
      <c r="AG6" s="542"/>
      <c r="AH6" s="543"/>
      <c r="AI6" s="543"/>
      <c r="AJ6" s="543"/>
      <c r="AK6" s="543"/>
      <c r="AL6" s="543"/>
      <c r="AM6" s="543"/>
      <c r="AN6" s="543"/>
      <c r="AO6" s="543"/>
      <c r="AP6" s="543"/>
      <c r="AQ6" s="543"/>
      <c r="AR6" s="543"/>
      <c r="AS6" s="543"/>
      <c r="AT6" s="543"/>
      <c r="AU6" s="543"/>
      <c r="AV6" s="543"/>
      <c r="AW6" s="543"/>
      <c r="AX6" s="544"/>
    </row>
    <row r="7" spans="1:50" ht="15" customHeight="1" x14ac:dyDescent="0.25">
      <c r="A7" s="524"/>
      <c r="B7" s="525"/>
      <c r="C7" s="525"/>
      <c r="D7" s="525"/>
      <c r="E7" s="525"/>
      <c r="F7" s="525"/>
      <c r="G7" s="525"/>
      <c r="H7" s="526" t="str">
        <f>IF(A8="","",LOOKUP(A8,BoonRef!$A$2:$A$430,BoonRef!$C$2:$C$430))</f>
        <v/>
      </c>
      <c r="I7" s="526"/>
      <c r="J7" s="527"/>
      <c r="K7" s="527"/>
      <c r="L7" s="527"/>
      <c r="M7" s="527"/>
      <c r="N7" s="527"/>
      <c r="O7" s="527"/>
      <c r="P7" s="527"/>
      <c r="Q7" s="527"/>
      <c r="R7" s="527"/>
      <c r="S7" s="527"/>
      <c r="T7" s="527"/>
      <c r="U7" s="527"/>
      <c r="V7" s="527"/>
      <c r="W7" s="527"/>
      <c r="X7" s="527"/>
      <c r="Y7" s="528"/>
      <c r="Z7" s="524"/>
      <c r="AA7" s="525"/>
      <c r="AB7" s="525"/>
      <c r="AC7" s="525"/>
      <c r="AD7" s="525"/>
      <c r="AE7" s="526" t="str">
        <f>IF(Z8="","",LOOKUP(Z8,KanckRef!$A$2:$A$170,KanckRef!$E$2:$E$170))</f>
        <v/>
      </c>
      <c r="AF7" s="526"/>
      <c r="AG7" s="527"/>
      <c r="AH7" s="527"/>
      <c r="AI7" s="527"/>
      <c r="AJ7" s="527"/>
      <c r="AK7" s="527"/>
      <c r="AL7" s="527"/>
      <c r="AM7" s="527"/>
      <c r="AN7" s="527"/>
      <c r="AO7" s="527"/>
      <c r="AP7" s="527"/>
      <c r="AQ7" s="527"/>
      <c r="AR7" s="527"/>
      <c r="AS7" s="527"/>
      <c r="AT7" s="527"/>
      <c r="AU7" s="527"/>
      <c r="AV7" s="527"/>
      <c r="AW7" s="527"/>
      <c r="AX7" s="528"/>
    </row>
    <row r="8" spans="1:50" ht="15" customHeight="1" x14ac:dyDescent="0.25">
      <c r="A8" s="533"/>
      <c r="B8" s="534"/>
      <c r="C8" s="534"/>
      <c r="D8" s="534"/>
      <c r="E8" s="534"/>
      <c r="F8" s="534"/>
      <c r="G8" s="534"/>
      <c r="H8" s="535" t="str">
        <f>IF(A8="","",LOOKUP(A8,BoonRef!$A$2:$A$430,BoonRef!$P$2:$P$430))</f>
        <v/>
      </c>
      <c r="I8" s="535"/>
      <c r="J8" s="529"/>
      <c r="K8" s="529"/>
      <c r="L8" s="529"/>
      <c r="M8" s="529"/>
      <c r="N8" s="529"/>
      <c r="O8" s="529"/>
      <c r="P8" s="529"/>
      <c r="Q8" s="529"/>
      <c r="R8" s="529"/>
      <c r="S8" s="529"/>
      <c r="T8" s="529"/>
      <c r="U8" s="529"/>
      <c r="V8" s="529"/>
      <c r="W8" s="529"/>
      <c r="X8" s="529"/>
      <c r="Y8" s="530"/>
      <c r="Z8" s="533"/>
      <c r="AA8" s="534"/>
      <c r="AB8" s="534"/>
      <c r="AC8" s="534"/>
      <c r="AD8" s="534"/>
      <c r="AE8" s="535" t="str">
        <f>IF(Z8="","",LOOKUP(Z8,KanckRef!$A$2:$A$170,KanckRef!$F$2:$F$170))</f>
        <v/>
      </c>
      <c r="AF8" s="535"/>
      <c r="AG8" s="529"/>
      <c r="AH8" s="529"/>
      <c r="AI8" s="529"/>
      <c r="AJ8" s="529"/>
      <c r="AK8" s="529"/>
      <c r="AL8" s="529"/>
      <c r="AM8" s="529"/>
      <c r="AN8" s="529"/>
      <c r="AO8" s="529"/>
      <c r="AP8" s="529"/>
      <c r="AQ8" s="529"/>
      <c r="AR8" s="529"/>
      <c r="AS8" s="529"/>
      <c r="AT8" s="529"/>
      <c r="AU8" s="529"/>
      <c r="AV8" s="529"/>
      <c r="AW8" s="529"/>
      <c r="AX8" s="530"/>
    </row>
    <row r="9" spans="1:50" ht="15" customHeight="1" x14ac:dyDescent="0.25">
      <c r="A9" s="533"/>
      <c r="B9" s="534"/>
      <c r="C9" s="534"/>
      <c r="D9" s="534"/>
      <c r="E9" s="534"/>
      <c r="F9" s="534"/>
      <c r="G9" s="534"/>
      <c r="H9" s="535" t="str">
        <f>IF(A8="","",LOOKUP(A8,BoonRef!$A$2:$A$430,BoonRef!$Q$2:$Q$430))</f>
        <v/>
      </c>
      <c r="I9" s="535"/>
      <c r="J9" s="529"/>
      <c r="K9" s="529"/>
      <c r="L9" s="529"/>
      <c r="M9" s="529"/>
      <c r="N9" s="529"/>
      <c r="O9" s="529"/>
      <c r="P9" s="529"/>
      <c r="Q9" s="529"/>
      <c r="R9" s="529"/>
      <c r="S9" s="529"/>
      <c r="T9" s="529"/>
      <c r="U9" s="529"/>
      <c r="V9" s="529"/>
      <c r="W9" s="529"/>
      <c r="X9" s="529"/>
      <c r="Y9" s="530"/>
      <c r="Z9" s="533"/>
      <c r="AA9" s="534"/>
      <c r="AB9" s="534"/>
      <c r="AC9" s="534"/>
      <c r="AD9" s="534"/>
      <c r="AE9" s="535"/>
      <c r="AF9" s="535"/>
      <c r="AG9" s="529"/>
      <c r="AH9" s="529"/>
      <c r="AI9" s="529"/>
      <c r="AJ9" s="529"/>
      <c r="AK9" s="529"/>
      <c r="AL9" s="529"/>
      <c r="AM9" s="529"/>
      <c r="AN9" s="529"/>
      <c r="AO9" s="529"/>
      <c r="AP9" s="529"/>
      <c r="AQ9" s="529"/>
      <c r="AR9" s="529"/>
      <c r="AS9" s="529"/>
      <c r="AT9" s="529"/>
      <c r="AU9" s="529"/>
      <c r="AV9" s="529"/>
      <c r="AW9" s="529"/>
      <c r="AX9" s="530"/>
    </row>
    <row r="10" spans="1:50" ht="15" customHeight="1" x14ac:dyDescent="0.25">
      <c r="A10" s="536" t="str">
        <f>IF(A8="","",LOOKUP(A8,BoonRef!$A$2:$A$430,BoonRef!$O$2:$O$430))</f>
        <v/>
      </c>
      <c r="B10" s="535"/>
      <c r="C10" s="535"/>
      <c r="D10" s="535"/>
      <c r="E10" s="535"/>
      <c r="F10" s="535"/>
      <c r="G10" s="535"/>
      <c r="H10" s="535"/>
      <c r="I10" s="535"/>
      <c r="J10" s="529"/>
      <c r="K10" s="529"/>
      <c r="L10" s="529"/>
      <c r="M10" s="529"/>
      <c r="N10" s="529"/>
      <c r="O10" s="529"/>
      <c r="P10" s="529"/>
      <c r="Q10" s="529"/>
      <c r="R10" s="529"/>
      <c r="S10" s="529"/>
      <c r="T10" s="529"/>
      <c r="U10" s="529"/>
      <c r="V10" s="529"/>
      <c r="W10" s="529"/>
      <c r="X10" s="529"/>
      <c r="Y10" s="530"/>
      <c r="Z10" s="536" t="str">
        <f>IF(Z8="","",LOOKUP(Z8,KanckRef!$A$2:$A$170,KanckRef!$D$2:$D$170))</f>
        <v/>
      </c>
      <c r="AA10" s="535"/>
      <c r="AB10" s="535"/>
      <c r="AC10" s="535"/>
      <c r="AD10" s="535"/>
      <c r="AE10" s="535"/>
      <c r="AF10" s="535"/>
      <c r="AG10" s="529"/>
      <c r="AH10" s="529"/>
      <c r="AI10" s="529"/>
      <c r="AJ10" s="529"/>
      <c r="AK10" s="529"/>
      <c r="AL10" s="529"/>
      <c r="AM10" s="529"/>
      <c r="AN10" s="529"/>
      <c r="AO10" s="529"/>
      <c r="AP10" s="529"/>
      <c r="AQ10" s="529"/>
      <c r="AR10" s="529"/>
      <c r="AS10" s="529"/>
      <c r="AT10" s="529"/>
      <c r="AU10" s="529"/>
      <c r="AV10" s="529"/>
      <c r="AW10" s="529"/>
      <c r="AX10" s="530"/>
    </row>
    <row r="11" spans="1:50" ht="15" customHeight="1" x14ac:dyDescent="0.25">
      <c r="A11" s="536" t="str">
        <f>IF(A8="","",LOOKUP(A8,BoonRef!$A$2:$A$430,BoonRef!$N$2:$N$430))</f>
        <v/>
      </c>
      <c r="B11" s="535"/>
      <c r="C11" s="535"/>
      <c r="D11" s="535"/>
      <c r="E11" s="535"/>
      <c r="F11" s="535"/>
      <c r="G11" s="535"/>
      <c r="H11" s="535"/>
      <c r="I11" s="535"/>
      <c r="J11" s="529"/>
      <c r="K11" s="529"/>
      <c r="L11" s="529"/>
      <c r="M11" s="529"/>
      <c r="N11" s="529"/>
      <c r="O11" s="529"/>
      <c r="P11" s="529"/>
      <c r="Q11" s="529"/>
      <c r="R11" s="529"/>
      <c r="S11" s="529"/>
      <c r="T11" s="529"/>
      <c r="U11" s="529"/>
      <c r="V11" s="529"/>
      <c r="W11" s="529"/>
      <c r="X11" s="529"/>
      <c r="Y11" s="530"/>
      <c r="Z11" s="536"/>
      <c r="AA11" s="535"/>
      <c r="AB11" s="535"/>
      <c r="AC11" s="535"/>
      <c r="AD11" s="535"/>
      <c r="AE11" s="535"/>
      <c r="AF11" s="535"/>
      <c r="AG11" s="529"/>
      <c r="AH11" s="529"/>
      <c r="AI11" s="529"/>
      <c r="AJ11" s="529"/>
      <c r="AK11" s="529"/>
      <c r="AL11" s="529"/>
      <c r="AM11" s="529"/>
      <c r="AN11" s="529"/>
      <c r="AO11" s="529"/>
      <c r="AP11" s="529"/>
      <c r="AQ11" s="529"/>
      <c r="AR11" s="529"/>
      <c r="AS11" s="529"/>
      <c r="AT11" s="529"/>
      <c r="AU11" s="529"/>
      <c r="AV11" s="529"/>
      <c r="AW11" s="529"/>
      <c r="AX11" s="530"/>
    </row>
    <row r="12" spans="1:50" ht="15" customHeight="1" thickBot="1" x14ac:dyDescent="0.3">
      <c r="A12" s="537"/>
      <c r="B12" s="538"/>
      <c r="C12" s="538"/>
      <c r="D12" s="538"/>
      <c r="E12" s="538"/>
      <c r="F12" s="538"/>
      <c r="G12" s="538"/>
      <c r="H12" s="538"/>
      <c r="I12" s="538"/>
      <c r="J12" s="531"/>
      <c r="K12" s="531"/>
      <c r="L12" s="531"/>
      <c r="M12" s="531"/>
      <c r="N12" s="531"/>
      <c r="O12" s="531"/>
      <c r="P12" s="531"/>
      <c r="Q12" s="531"/>
      <c r="R12" s="531"/>
      <c r="S12" s="531"/>
      <c r="T12" s="531"/>
      <c r="U12" s="531"/>
      <c r="V12" s="531"/>
      <c r="W12" s="531"/>
      <c r="X12" s="531"/>
      <c r="Y12" s="532"/>
      <c r="Z12" s="537"/>
      <c r="AA12" s="538"/>
      <c r="AB12" s="538"/>
      <c r="AC12" s="538"/>
      <c r="AD12" s="538"/>
      <c r="AE12" s="538"/>
      <c r="AF12" s="538"/>
      <c r="AG12" s="531"/>
      <c r="AH12" s="531"/>
      <c r="AI12" s="531"/>
      <c r="AJ12" s="531"/>
      <c r="AK12" s="531"/>
      <c r="AL12" s="531"/>
      <c r="AM12" s="531"/>
      <c r="AN12" s="531"/>
      <c r="AO12" s="531"/>
      <c r="AP12" s="531"/>
      <c r="AQ12" s="531"/>
      <c r="AR12" s="531"/>
      <c r="AS12" s="531"/>
      <c r="AT12" s="531"/>
      <c r="AU12" s="531"/>
      <c r="AV12" s="531"/>
      <c r="AW12" s="531"/>
      <c r="AX12" s="532"/>
    </row>
    <row r="13" spans="1:50" ht="15" customHeight="1" x14ac:dyDescent="0.25">
      <c r="A13" s="524"/>
      <c r="B13" s="525"/>
      <c r="C13" s="525"/>
      <c r="D13" s="525"/>
      <c r="E13" s="525"/>
      <c r="F13" s="525"/>
      <c r="G13" s="525"/>
      <c r="H13" s="526" t="str">
        <f>IF(A14="","",LOOKUP(A14,BoonRef!$A$2:$A$430,BoonRef!$C$2:$C$430))</f>
        <v/>
      </c>
      <c r="I13" s="526"/>
      <c r="J13" s="527"/>
      <c r="K13" s="527"/>
      <c r="L13" s="527"/>
      <c r="M13" s="527"/>
      <c r="N13" s="527"/>
      <c r="O13" s="527"/>
      <c r="P13" s="527"/>
      <c r="Q13" s="527"/>
      <c r="R13" s="527"/>
      <c r="S13" s="527"/>
      <c r="T13" s="527"/>
      <c r="U13" s="527"/>
      <c r="V13" s="527"/>
      <c r="W13" s="527"/>
      <c r="X13" s="527"/>
      <c r="Y13" s="528"/>
      <c r="Z13" s="524"/>
      <c r="AA13" s="525"/>
      <c r="AB13" s="525"/>
      <c r="AC13" s="525"/>
      <c r="AD13" s="525"/>
      <c r="AE13" s="526" t="str">
        <f>IF(Z14="","",LOOKUP(Z14,KanckRef!$A$2:$A$170,KanckRef!$E$2:$E$170))</f>
        <v/>
      </c>
      <c r="AF13" s="526"/>
      <c r="AG13" s="527"/>
      <c r="AH13" s="527"/>
      <c r="AI13" s="527"/>
      <c r="AJ13" s="527"/>
      <c r="AK13" s="527"/>
      <c r="AL13" s="527"/>
      <c r="AM13" s="527"/>
      <c r="AN13" s="527"/>
      <c r="AO13" s="527"/>
      <c r="AP13" s="527"/>
      <c r="AQ13" s="527"/>
      <c r="AR13" s="527"/>
      <c r="AS13" s="527"/>
      <c r="AT13" s="527"/>
      <c r="AU13" s="527"/>
      <c r="AV13" s="527"/>
      <c r="AW13" s="527"/>
      <c r="AX13" s="528"/>
    </row>
    <row r="14" spans="1:50" ht="15" customHeight="1" x14ac:dyDescent="0.25">
      <c r="A14" s="533"/>
      <c r="B14" s="534"/>
      <c r="C14" s="534"/>
      <c r="D14" s="534"/>
      <c r="E14" s="534"/>
      <c r="F14" s="534"/>
      <c r="G14" s="534"/>
      <c r="H14" s="535" t="str">
        <f>IF(A14="","",LOOKUP(A14,BoonRef!$A$2:$A$430,BoonRef!$P$2:$P$430))</f>
        <v/>
      </c>
      <c r="I14" s="535"/>
      <c r="J14" s="529"/>
      <c r="K14" s="529"/>
      <c r="L14" s="529"/>
      <c r="M14" s="529"/>
      <c r="N14" s="529"/>
      <c r="O14" s="529"/>
      <c r="P14" s="529"/>
      <c r="Q14" s="529"/>
      <c r="R14" s="529"/>
      <c r="S14" s="529"/>
      <c r="T14" s="529"/>
      <c r="U14" s="529"/>
      <c r="V14" s="529"/>
      <c r="W14" s="529"/>
      <c r="X14" s="529"/>
      <c r="Y14" s="530"/>
      <c r="Z14" s="533"/>
      <c r="AA14" s="534"/>
      <c r="AB14" s="534"/>
      <c r="AC14" s="534"/>
      <c r="AD14" s="534"/>
      <c r="AE14" s="535" t="str">
        <f>IF(Z14="","",LOOKUP(Z14,KanckRef!$A$2:$A$170,KanckRef!$F$2:$F$170))</f>
        <v/>
      </c>
      <c r="AF14" s="535"/>
      <c r="AG14" s="529"/>
      <c r="AH14" s="529"/>
      <c r="AI14" s="529"/>
      <c r="AJ14" s="529"/>
      <c r="AK14" s="529"/>
      <c r="AL14" s="529"/>
      <c r="AM14" s="529"/>
      <c r="AN14" s="529"/>
      <c r="AO14" s="529"/>
      <c r="AP14" s="529"/>
      <c r="AQ14" s="529"/>
      <c r="AR14" s="529"/>
      <c r="AS14" s="529"/>
      <c r="AT14" s="529"/>
      <c r="AU14" s="529"/>
      <c r="AV14" s="529"/>
      <c r="AW14" s="529"/>
      <c r="AX14" s="530"/>
    </row>
    <row r="15" spans="1:50" ht="15" customHeight="1" x14ac:dyDescent="0.25">
      <c r="A15" s="533"/>
      <c r="B15" s="534"/>
      <c r="C15" s="534"/>
      <c r="D15" s="534"/>
      <c r="E15" s="534"/>
      <c r="F15" s="534"/>
      <c r="G15" s="534"/>
      <c r="H15" s="535" t="str">
        <f>IF(A14="","",LOOKUP(A14,BoonRef!$A$2:$A$430,BoonRef!$Q$2:$Q$430))</f>
        <v/>
      </c>
      <c r="I15" s="535"/>
      <c r="J15" s="529"/>
      <c r="K15" s="529"/>
      <c r="L15" s="529"/>
      <c r="M15" s="529"/>
      <c r="N15" s="529"/>
      <c r="O15" s="529"/>
      <c r="P15" s="529"/>
      <c r="Q15" s="529"/>
      <c r="R15" s="529"/>
      <c r="S15" s="529"/>
      <c r="T15" s="529"/>
      <c r="U15" s="529"/>
      <c r="V15" s="529"/>
      <c r="W15" s="529"/>
      <c r="X15" s="529"/>
      <c r="Y15" s="530"/>
      <c r="Z15" s="533"/>
      <c r="AA15" s="534"/>
      <c r="AB15" s="534"/>
      <c r="AC15" s="534"/>
      <c r="AD15" s="534"/>
      <c r="AE15" s="535"/>
      <c r="AF15" s="535"/>
      <c r="AG15" s="529"/>
      <c r="AH15" s="529"/>
      <c r="AI15" s="529"/>
      <c r="AJ15" s="529"/>
      <c r="AK15" s="529"/>
      <c r="AL15" s="529"/>
      <c r="AM15" s="529"/>
      <c r="AN15" s="529"/>
      <c r="AO15" s="529"/>
      <c r="AP15" s="529"/>
      <c r="AQ15" s="529"/>
      <c r="AR15" s="529"/>
      <c r="AS15" s="529"/>
      <c r="AT15" s="529"/>
      <c r="AU15" s="529"/>
      <c r="AV15" s="529"/>
      <c r="AW15" s="529"/>
      <c r="AX15" s="530"/>
    </row>
    <row r="16" spans="1:50" ht="15" customHeight="1" x14ac:dyDescent="0.25">
      <c r="A16" s="536" t="str">
        <f>IF(A14="","",LOOKUP(A14,BoonRef!$A$2:$A$430,BoonRef!$O$2:$O$430))</f>
        <v/>
      </c>
      <c r="B16" s="535"/>
      <c r="C16" s="535"/>
      <c r="D16" s="535"/>
      <c r="E16" s="535"/>
      <c r="F16" s="535"/>
      <c r="G16" s="535"/>
      <c r="H16" s="535"/>
      <c r="I16" s="535"/>
      <c r="J16" s="529"/>
      <c r="K16" s="529"/>
      <c r="L16" s="529"/>
      <c r="M16" s="529"/>
      <c r="N16" s="529"/>
      <c r="O16" s="529"/>
      <c r="P16" s="529"/>
      <c r="Q16" s="529"/>
      <c r="R16" s="529"/>
      <c r="S16" s="529"/>
      <c r="T16" s="529"/>
      <c r="U16" s="529"/>
      <c r="V16" s="529"/>
      <c r="W16" s="529"/>
      <c r="X16" s="529"/>
      <c r="Y16" s="530"/>
      <c r="Z16" s="536" t="str">
        <f>IF(Z14="","",LOOKUP(Z14,KanckRef!$A$2:$A$170,KanckRef!$D$2:$D$170))</f>
        <v/>
      </c>
      <c r="AA16" s="535"/>
      <c r="AB16" s="535"/>
      <c r="AC16" s="535"/>
      <c r="AD16" s="535"/>
      <c r="AE16" s="535"/>
      <c r="AF16" s="535"/>
      <c r="AG16" s="529"/>
      <c r="AH16" s="529"/>
      <c r="AI16" s="529"/>
      <c r="AJ16" s="529"/>
      <c r="AK16" s="529"/>
      <c r="AL16" s="529"/>
      <c r="AM16" s="529"/>
      <c r="AN16" s="529"/>
      <c r="AO16" s="529"/>
      <c r="AP16" s="529"/>
      <c r="AQ16" s="529"/>
      <c r="AR16" s="529"/>
      <c r="AS16" s="529"/>
      <c r="AT16" s="529"/>
      <c r="AU16" s="529"/>
      <c r="AV16" s="529"/>
      <c r="AW16" s="529"/>
      <c r="AX16" s="530"/>
    </row>
    <row r="17" spans="1:50" ht="15" customHeight="1" x14ac:dyDescent="0.25">
      <c r="A17" s="536" t="str">
        <f>IF(A14="","",LOOKUP(A14,BoonRef!$A$2:$A$430,BoonRef!$N$2:$N$430))</f>
        <v/>
      </c>
      <c r="B17" s="535"/>
      <c r="C17" s="535"/>
      <c r="D17" s="535"/>
      <c r="E17" s="535"/>
      <c r="F17" s="535"/>
      <c r="G17" s="535"/>
      <c r="H17" s="535"/>
      <c r="I17" s="535"/>
      <c r="J17" s="529"/>
      <c r="K17" s="529"/>
      <c r="L17" s="529"/>
      <c r="M17" s="529"/>
      <c r="N17" s="529"/>
      <c r="O17" s="529"/>
      <c r="P17" s="529"/>
      <c r="Q17" s="529"/>
      <c r="R17" s="529"/>
      <c r="S17" s="529"/>
      <c r="T17" s="529"/>
      <c r="U17" s="529"/>
      <c r="V17" s="529"/>
      <c r="W17" s="529"/>
      <c r="X17" s="529"/>
      <c r="Y17" s="530"/>
      <c r="Z17" s="536"/>
      <c r="AA17" s="535"/>
      <c r="AB17" s="535"/>
      <c r="AC17" s="535"/>
      <c r="AD17" s="535"/>
      <c r="AE17" s="535"/>
      <c r="AF17" s="535"/>
      <c r="AG17" s="529"/>
      <c r="AH17" s="529"/>
      <c r="AI17" s="529"/>
      <c r="AJ17" s="529"/>
      <c r="AK17" s="529"/>
      <c r="AL17" s="529"/>
      <c r="AM17" s="529"/>
      <c r="AN17" s="529"/>
      <c r="AO17" s="529"/>
      <c r="AP17" s="529"/>
      <c r="AQ17" s="529"/>
      <c r="AR17" s="529"/>
      <c r="AS17" s="529"/>
      <c r="AT17" s="529"/>
      <c r="AU17" s="529"/>
      <c r="AV17" s="529"/>
      <c r="AW17" s="529"/>
      <c r="AX17" s="530"/>
    </row>
    <row r="18" spans="1:50" ht="15" customHeight="1" thickBot="1" x14ac:dyDescent="0.3">
      <c r="A18" s="537"/>
      <c r="B18" s="538"/>
      <c r="C18" s="538"/>
      <c r="D18" s="538"/>
      <c r="E18" s="538"/>
      <c r="F18" s="538"/>
      <c r="G18" s="538"/>
      <c r="H18" s="538"/>
      <c r="I18" s="538"/>
      <c r="J18" s="531"/>
      <c r="K18" s="531"/>
      <c r="L18" s="531"/>
      <c r="M18" s="531"/>
      <c r="N18" s="531"/>
      <c r="O18" s="531"/>
      <c r="P18" s="531"/>
      <c r="Q18" s="531"/>
      <c r="R18" s="531"/>
      <c r="S18" s="531"/>
      <c r="T18" s="531"/>
      <c r="U18" s="531"/>
      <c r="V18" s="531"/>
      <c r="W18" s="531"/>
      <c r="X18" s="531"/>
      <c r="Y18" s="532"/>
      <c r="Z18" s="537"/>
      <c r="AA18" s="538"/>
      <c r="AB18" s="538"/>
      <c r="AC18" s="538"/>
      <c r="AD18" s="538"/>
      <c r="AE18" s="538"/>
      <c r="AF18" s="538"/>
      <c r="AG18" s="531"/>
      <c r="AH18" s="531"/>
      <c r="AI18" s="531"/>
      <c r="AJ18" s="531"/>
      <c r="AK18" s="531"/>
      <c r="AL18" s="531"/>
      <c r="AM18" s="531"/>
      <c r="AN18" s="531"/>
      <c r="AO18" s="531"/>
      <c r="AP18" s="531"/>
      <c r="AQ18" s="531"/>
      <c r="AR18" s="531"/>
      <c r="AS18" s="531"/>
      <c r="AT18" s="531"/>
      <c r="AU18" s="531"/>
      <c r="AV18" s="531"/>
      <c r="AW18" s="531"/>
      <c r="AX18" s="532"/>
    </row>
    <row r="19" spans="1:50" ht="15" customHeight="1" x14ac:dyDescent="0.25">
      <c r="A19" s="524"/>
      <c r="B19" s="525"/>
      <c r="C19" s="525"/>
      <c r="D19" s="525"/>
      <c r="E19" s="525"/>
      <c r="F19" s="525"/>
      <c r="G19" s="525"/>
      <c r="H19" s="526" t="str">
        <f>IF(A20="","",LOOKUP(A20,BoonRef!$A$2:$A$430,BoonRef!$C$2:$C$430))</f>
        <v/>
      </c>
      <c r="I19" s="526"/>
      <c r="J19" s="527"/>
      <c r="K19" s="527"/>
      <c r="L19" s="527"/>
      <c r="M19" s="527"/>
      <c r="N19" s="527"/>
      <c r="O19" s="527"/>
      <c r="P19" s="527"/>
      <c r="Q19" s="527"/>
      <c r="R19" s="527"/>
      <c r="S19" s="527"/>
      <c r="T19" s="527"/>
      <c r="U19" s="527"/>
      <c r="V19" s="527"/>
      <c r="W19" s="527"/>
      <c r="X19" s="527"/>
      <c r="Y19" s="528"/>
      <c r="Z19" s="524"/>
      <c r="AA19" s="525"/>
      <c r="AB19" s="525"/>
      <c r="AC19" s="525"/>
      <c r="AD19" s="525"/>
      <c r="AE19" s="526" t="str">
        <f>IF(Z20="","",LOOKUP(Z20,KanckRef!$A$2:$A$170,KanckRef!$E$2:$E$170))</f>
        <v/>
      </c>
      <c r="AF19" s="526"/>
      <c r="AG19" s="527"/>
      <c r="AH19" s="527"/>
      <c r="AI19" s="527"/>
      <c r="AJ19" s="527"/>
      <c r="AK19" s="527"/>
      <c r="AL19" s="527"/>
      <c r="AM19" s="527"/>
      <c r="AN19" s="527"/>
      <c r="AO19" s="527"/>
      <c r="AP19" s="527"/>
      <c r="AQ19" s="527"/>
      <c r="AR19" s="527"/>
      <c r="AS19" s="527"/>
      <c r="AT19" s="527"/>
      <c r="AU19" s="527"/>
      <c r="AV19" s="527"/>
      <c r="AW19" s="527"/>
      <c r="AX19" s="528"/>
    </row>
    <row r="20" spans="1:50" ht="15" customHeight="1" x14ac:dyDescent="0.25">
      <c r="A20" s="533"/>
      <c r="B20" s="534"/>
      <c r="C20" s="534"/>
      <c r="D20" s="534"/>
      <c r="E20" s="534"/>
      <c r="F20" s="534"/>
      <c r="G20" s="534"/>
      <c r="H20" s="535" t="str">
        <f>IF(A20="","",LOOKUP(A20,BoonRef!$A$2:$A$430,BoonRef!$P$2:$P$430))</f>
        <v/>
      </c>
      <c r="I20" s="535"/>
      <c r="J20" s="529"/>
      <c r="K20" s="529"/>
      <c r="L20" s="529"/>
      <c r="M20" s="529"/>
      <c r="N20" s="529"/>
      <c r="O20" s="529"/>
      <c r="P20" s="529"/>
      <c r="Q20" s="529"/>
      <c r="R20" s="529"/>
      <c r="S20" s="529"/>
      <c r="T20" s="529"/>
      <c r="U20" s="529"/>
      <c r="V20" s="529"/>
      <c r="W20" s="529"/>
      <c r="X20" s="529"/>
      <c r="Y20" s="530"/>
      <c r="Z20" s="533"/>
      <c r="AA20" s="534"/>
      <c r="AB20" s="534"/>
      <c r="AC20" s="534"/>
      <c r="AD20" s="534"/>
      <c r="AE20" s="535" t="str">
        <f>IF(Z20="","",LOOKUP(Z20,KanckRef!$A$2:$A$170,KanckRef!$F$2:$F$170))</f>
        <v/>
      </c>
      <c r="AF20" s="535"/>
      <c r="AG20" s="529"/>
      <c r="AH20" s="529"/>
      <c r="AI20" s="529"/>
      <c r="AJ20" s="529"/>
      <c r="AK20" s="529"/>
      <c r="AL20" s="529"/>
      <c r="AM20" s="529"/>
      <c r="AN20" s="529"/>
      <c r="AO20" s="529"/>
      <c r="AP20" s="529"/>
      <c r="AQ20" s="529"/>
      <c r="AR20" s="529"/>
      <c r="AS20" s="529"/>
      <c r="AT20" s="529"/>
      <c r="AU20" s="529"/>
      <c r="AV20" s="529"/>
      <c r="AW20" s="529"/>
      <c r="AX20" s="530"/>
    </row>
    <row r="21" spans="1:50" ht="15" customHeight="1" x14ac:dyDescent="0.25">
      <c r="A21" s="533"/>
      <c r="B21" s="534"/>
      <c r="C21" s="534"/>
      <c r="D21" s="534"/>
      <c r="E21" s="534"/>
      <c r="F21" s="534"/>
      <c r="G21" s="534"/>
      <c r="H21" s="535" t="str">
        <f>IF(A20="","",LOOKUP(A20,BoonRef!$A$2:$A$430,BoonRef!$Q$2:$Q$430))</f>
        <v/>
      </c>
      <c r="I21" s="535"/>
      <c r="J21" s="529"/>
      <c r="K21" s="529"/>
      <c r="L21" s="529"/>
      <c r="M21" s="529"/>
      <c r="N21" s="529"/>
      <c r="O21" s="529"/>
      <c r="P21" s="529"/>
      <c r="Q21" s="529"/>
      <c r="R21" s="529"/>
      <c r="S21" s="529"/>
      <c r="T21" s="529"/>
      <c r="U21" s="529"/>
      <c r="V21" s="529"/>
      <c r="W21" s="529"/>
      <c r="X21" s="529"/>
      <c r="Y21" s="530"/>
      <c r="Z21" s="533"/>
      <c r="AA21" s="534"/>
      <c r="AB21" s="534"/>
      <c r="AC21" s="534"/>
      <c r="AD21" s="534"/>
      <c r="AE21" s="535"/>
      <c r="AF21" s="535"/>
      <c r="AG21" s="529"/>
      <c r="AH21" s="529"/>
      <c r="AI21" s="529"/>
      <c r="AJ21" s="529"/>
      <c r="AK21" s="529"/>
      <c r="AL21" s="529"/>
      <c r="AM21" s="529"/>
      <c r="AN21" s="529"/>
      <c r="AO21" s="529"/>
      <c r="AP21" s="529"/>
      <c r="AQ21" s="529"/>
      <c r="AR21" s="529"/>
      <c r="AS21" s="529"/>
      <c r="AT21" s="529"/>
      <c r="AU21" s="529"/>
      <c r="AV21" s="529"/>
      <c r="AW21" s="529"/>
      <c r="AX21" s="530"/>
    </row>
    <row r="22" spans="1:50" ht="15" customHeight="1" x14ac:dyDescent="0.25">
      <c r="A22" s="536" t="str">
        <f>IF(A20="","",LOOKUP(A20,BoonRef!$A$2:$A$430,BoonRef!$O$2:$O$430))</f>
        <v/>
      </c>
      <c r="B22" s="535"/>
      <c r="C22" s="535"/>
      <c r="D22" s="535"/>
      <c r="E22" s="535"/>
      <c r="F22" s="535"/>
      <c r="G22" s="535"/>
      <c r="H22" s="535"/>
      <c r="I22" s="535"/>
      <c r="J22" s="529"/>
      <c r="K22" s="529"/>
      <c r="L22" s="529"/>
      <c r="M22" s="529"/>
      <c r="N22" s="529"/>
      <c r="O22" s="529"/>
      <c r="P22" s="529"/>
      <c r="Q22" s="529"/>
      <c r="R22" s="529"/>
      <c r="S22" s="529"/>
      <c r="T22" s="529"/>
      <c r="U22" s="529"/>
      <c r="V22" s="529"/>
      <c r="W22" s="529"/>
      <c r="X22" s="529"/>
      <c r="Y22" s="530"/>
      <c r="Z22" s="536" t="str">
        <f>IF(Z20="","",LOOKUP(Z20,KanckRef!$A$2:$A$170,KanckRef!$D$2:$D$170))</f>
        <v/>
      </c>
      <c r="AA22" s="535"/>
      <c r="AB22" s="535"/>
      <c r="AC22" s="535"/>
      <c r="AD22" s="535"/>
      <c r="AE22" s="535"/>
      <c r="AF22" s="535"/>
      <c r="AG22" s="529"/>
      <c r="AH22" s="529"/>
      <c r="AI22" s="529"/>
      <c r="AJ22" s="529"/>
      <c r="AK22" s="529"/>
      <c r="AL22" s="529"/>
      <c r="AM22" s="529"/>
      <c r="AN22" s="529"/>
      <c r="AO22" s="529"/>
      <c r="AP22" s="529"/>
      <c r="AQ22" s="529"/>
      <c r="AR22" s="529"/>
      <c r="AS22" s="529"/>
      <c r="AT22" s="529"/>
      <c r="AU22" s="529"/>
      <c r="AV22" s="529"/>
      <c r="AW22" s="529"/>
      <c r="AX22" s="530"/>
    </row>
    <row r="23" spans="1:50" ht="15" customHeight="1" x14ac:dyDescent="0.25">
      <c r="A23" s="536" t="str">
        <f>IF(A20="","",LOOKUP(A20,BoonRef!$A$2:$A$430,BoonRef!$N$2:$N$430))</f>
        <v/>
      </c>
      <c r="B23" s="535"/>
      <c r="C23" s="535"/>
      <c r="D23" s="535"/>
      <c r="E23" s="535"/>
      <c r="F23" s="535"/>
      <c r="G23" s="535"/>
      <c r="H23" s="535"/>
      <c r="I23" s="535"/>
      <c r="J23" s="529"/>
      <c r="K23" s="529"/>
      <c r="L23" s="529"/>
      <c r="M23" s="529"/>
      <c r="N23" s="529"/>
      <c r="O23" s="529"/>
      <c r="P23" s="529"/>
      <c r="Q23" s="529"/>
      <c r="R23" s="529"/>
      <c r="S23" s="529"/>
      <c r="T23" s="529"/>
      <c r="U23" s="529"/>
      <c r="V23" s="529"/>
      <c r="W23" s="529"/>
      <c r="X23" s="529"/>
      <c r="Y23" s="530"/>
      <c r="Z23" s="536"/>
      <c r="AA23" s="535"/>
      <c r="AB23" s="535"/>
      <c r="AC23" s="535"/>
      <c r="AD23" s="535"/>
      <c r="AE23" s="535"/>
      <c r="AF23" s="535"/>
      <c r="AG23" s="529"/>
      <c r="AH23" s="529"/>
      <c r="AI23" s="529"/>
      <c r="AJ23" s="529"/>
      <c r="AK23" s="529"/>
      <c r="AL23" s="529"/>
      <c r="AM23" s="529"/>
      <c r="AN23" s="529"/>
      <c r="AO23" s="529"/>
      <c r="AP23" s="529"/>
      <c r="AQ23" s="529"/>
      <c r="AR23" s="529"/>
      <c r="AS23" s="529"/>
      <c r="AT23" s="529"/>
      <c r="AU23" s="529"/>
      <c r="AV23" s="529"/>
      <c r="AW23" s="529"/>
      <c r="AX23" s="530"/>
    </row>
    <row r="24" spans="1:50" ht="15" customHeight="1" thickBot="1" x14ac:dyDescent="0.3">
      <c r="A24" s="537"/>
      <c r="B24" s="538"/>
      <c r="C24" s="538"/>
      <c r="D24" s="538"/>
      <c r="E24" s="538"/>
      <c r="F24" s="538"/>
      <c r="G24" s="538"/>
      <c r="H24" s="538"/>
      <c r="I24" s="538"/>
      <c r="J24" s="531"/>
      <c r="K24" s="531"/>
      <c r="L24" s="531"/>
      <c r="M24" s="531"/>
      <c r="N24" s="531"/>
      <c r="O24" s="531"/>
      <c r="P24" s="531"/>
      <c r="Q24" s="531"/>
      <c r="R24" s="531"/>
      <c r="S24" s="531"/>
      <c r="T24" s="531"/>
      <c r="U24" s="531"/>
      <c r="V24" s="531"/>
      <c r="W24" s="531"/>
      <c r="X24" s="531"/>
      <c r="Y24" s="532"/>
      <c r="Z24" s="537"/>
      <c r="AA24" s="538"/>
      <c r="AB24" s="538"/>
      <c r="AC24" s="538"/>
      <c r="AD24" s="538"/>
      <c r="AE24" s="538"/>
      <c r="AF24" s="538"/>
      <c r="AG24" s="531"/>
      <c r="AH24" s="531"/>
      <c r="AI24" s="531"/>
      <c r="AJ24" s="531"/>
      <c r="AK24" s="531"/>
      <c r="AL24" s="531"/>
      <c r="AM24" s="531"/>
      <c r="AN24" s="531"/>
      <c r="AO24" s="531"/>
      <c r="AP24" s="531"/>
      <c r="AQ24" s="531"/>
      <c r="AR24" s="531"/>
      <c r="AS24" s="531"/>
      <c r="AT24" s="531"/>
      <c r="AU24" s="531"/>
      <c r="AV24" s="531"/>
      <c r="AW24" s="531"/>
      <c r="AX24" s="532"/>
    </row>
    <row r="25" spans="1:50" ht="15" customHeight="1" x14ac:dyDescent="0.25">
      <c r="A25" s="524"/>
      <c r="B25" s="525"/>
      <c r="C25" s="525"/>
      <c r="D25" s="525"/>
      <c r="E25" s="525"/>
      <c r="F25" s="525"/>
      <c r="G25" s="525"/>
      <c r="H25" s="526" t="str">
        <f>IF(A26="","",LOOKUP(A26,BoonRef!$A$2:$A$430,BoonRef!$C$2:$C$430))</f>
        <v/>
      </c>
      <c r="I25" s="526"/>
      <c r="J25" s="527"/>
      <c r="K25" s="527"/>
      <c r="L25" s="527"/>
      <c r="M25" s="527"/>
      <c r="N25" s="527"/>
      <c r="O25" s="527"/>
      <c r="P25" s="527"/>
      <c r="Q25" s="527"/>
      <c r="R25" s="527"/>
      <c r="S25" s="527"/>
      <c r="T25" s="527"/>
      <c r="U25" s="527"/>
      <c r="V25" s="527"/>
      <c r="W25" s="527"/>
      <c r="X25" s="527"/>
      <c r="Y25" s="528"/>
      <c r="Z25" s="524"/>
      <c r="AA25" s="525"/>
      <c r="AB25" s="525"/>
      <c r="AC25" s="525"/>
      <c r="AD25" s="525"/>
      <c r="AE25" s="526" t="str">
        <f>IF(Z26="","",LOOKUP(Z26,KanckRef!$A$2:$A$170,KanckRef!$E$2:$E$170))</f>
        <v/>
      </c>
      <c r="AF25" s="526"/>
      <c r="AG25" s="527"/>
      <c r="AH25" s="527"/>
      <c r="AI25" s="527"/>
      <c r="AJ25" s="527"/>
      <c r="AK25" s="527"/>
      <c r="AL25" s="527"/>
      <c r="AM25" s="527"/>
      <c r="AN25" s="527"/>
      <c r="AO25" s="527"/>
      <c r="AP25" s="527"/>
      <c r="AQ25" s="527"/>
      <c r="AR25" s="527"/>
      <c r="AS25" s="527"/>
      <c r="AT25" s="527"/>
      <c r="AU25" s="527"/>
      <c r="AV25" s="527"/>
      <c r="AW25" s="527"/>
      <c r="AX25" s="528"/>
    </row>
    <row r="26" spans="1:50" ht="15" customHeight="1" x14ac:dyDescent="0.25">
      <c r="A26" s="533"/>
      <c r="B26" s="534"/>
      <c r="C26" s="534"/>
      <c r="D26" s="534"/>
      <c r="E26" s="534"/>
      <c r="F26" s="534"/>
      <c r="G26" s="534"/>
      <c r="H26" s="535" t="str">
        <f>IF(A26="","",LOOKUP(A26,BoonRef!$A$2:$A$430,BoonRef!$P$2:$P$430))</f>
        <v/>
      </c>
      <c r="I26" s="535"/>
      <c r="J26" s="529"/>
      <c r="K26" s="529"/>
      <c r="L26" s="529"/>
      <c r="M26" s="529"/>
      <c r="N26" s="529"/>
      <c r="O26" s="529"/>
      <c r="P26" s="529"/>
      <c r="Q26" s="529"/>
      <c r="R26" s="529"/>
      <c r="S26" s="529"/>
      <c r="T26" s="529"/>
      <c r="U26" s="529"/>
      <c r="V26" s="529"/>
      <c r="W26" s="529"/>
      <c r="X26" s="529"/>
      <c r="Y26" s="530"/>
      <c r="Z26" s="533"/>
      <c r="AA26" s="534"/>
      <c r="AB26" s="534"/>
      <c r="AC26" s="534"/>
      <c r="AD26" s="534"/>
      <c r="AE26" s="535" t="str">
        <f>IF(Z26="","",LOOKUP(Z26,KanckRef!$A$2:$A$170,KanckRef!$F$2:$F$170))</f>
        <v/>
      </c>
      <c r="AF26" s="535"/>
      <c r="AG26" s="529"/>
      <c r="AH26" s="529"/>
      <c r="AI26" s="529"/>
      <c r="AJ26" s="529"/>
      <c r="AK26" s="529"/>
      <c r="AL26" s="529"/>
      <c r="AM26" s="529"/>
      <c r="AN26" s="529"/>
      <c r="AO26" s="529"/>
      <c r="AP26" s="529"/>
      <c r="AQ26" s="529"/>
      <c r="AR26" s="529"/>
      <c r="AS26" s="529"/>
      <c r="AT26" s="529"/>
      <c r="AU26" s="529"/>
      <c r="AV26" s="529"/>
      <c r="AW26" s="529"/>
      <c r="AX26" s="530"/>
    </row>
    <row r="27" spans="1:50" ht="15" customHeight="1" x14ac:dyDescent="0.25">
      <c r="A27" s="533"/>
      <c r="B27" s="534"/>
      <c r="C27" s="534"/>
      <c r="D27" s="534"/>
      <c r="E27" s="534"/>
      <c r="F27" s="534"/>
      <c r="G27" s="534"/>
      <c r="H27" s="535" t="str">
        <f>IF(A26="","",LOOKUP(A26,BoonRef!$A$2:$A$430,BoonRef!$Q$2:$Q$430))</f>
        <v/>
      </c>
      <c r="I27" s="535"/>
      <c r="J27" s="529"/>
      <c r="K27" s="529"/>
      <c r="L27" s="529"/>
      <c r="M27" s="529"/>
      <c r="N27" s="529"/>
      <c r="O27" s="529"/>
      <c r="P27" s="529"/>
      <c r="Q27" s="529"/>
      <c r="R27" s="529"/>
      <c r="S27" s="529"/>
      <c r="T27" s="529"/>
      <c r="U27" s="529"/>
      <c r="V27" s="529"/>
      <c r="W27" s="529"/>
      <c r="X27" s="529"/>
      <c r="Y27" s="530"/>
      <c r="Z27" s="533"/>
      <c r="AA27" s="534"/>
      <c r="AB27" s="534"/>
      <c r="AC27" s="534"/>
      <c r="AD27" s="534"/>
      <c r="AE27" s="535"/>
      <c r="AF27" s="535"/>
      <c r="AG27" s="529"/>
      <c r="AH27" s="529"/>
      <c r="AI27" s="529"/>
      <c r="AJ27" s="529"/>
      <c r="AK27" s="529"/>
      <c r="AL27" s="529"/>
      <c r="AM27" s="529"/>
      <c r="AN27" s="529"/>
      <c r="AO27" s="529"/>
      <c r="AP27" s="529"/>
      <c r="AQ27" s="529"/>
      <c r="AR27" s="529"/>
      <c r="AS27" s="529"/>
      <c r="AT27" s="529"/>
      <c r="AU27" s="529"/>
      <c r="AV27" s="529"/>
      <c r="AW27" s="529"/>
      <c r="AX27" s="530"/>
    </row>
    <row r="28" spans="1:50" ht="15" customHeight="1" x14ac:dyDescent="0.25">
      <c r="A28" s="536" t="str">
        <f>IF(A26="","",LOOKUP(A26,BoonRef!$A$2:$A$430,BoonRef!$O$2:$O$430))</f>
        <v/>
      </c>
      <c r="B28" s="535"/>
      <c r="C28" s="535"/>
      <c r="D28" s="535"/>
      <c r="E28" s="535"/>
      <c r="F28" s="535"/>
      <c r="G28" s="535"/>
      <c r="H28" s="535"/>
      <c r="I28" s="535"/>
      <c r="J28" s="529"/>
      <c r="K28" s="529"/>
      <c r="L28" s="529"/>
      <c r="M28" s="529"/>
      <c r="N28" s="529"/>
      <c r="O28" s="529"/>
      <c r="P28" s="529"/>
      <c r="Q28" s="529"/>
      <c r="R28" s="529"/>
      <c r="S28" s="529"/>
      <c r="T28" s="529"/>
      <c r="U28" s="529"/>
      <c r="V28" s="529"/>
      <c r="W28" s="529"/>
      <c r="X28" s="529"/>
      <c r="Y28" s="530"/>
      <c r="Z28" s="536" t="str">
        <f>IF(Z26="","",LOOKUP(Z26,KanckRef!$A$2:$A$170,KanckRef!$D$2:$D$170))</f>
        <v/>
      </c>
      <c r="AA28" s="535"/>
      <c r="AB28" s="535"/>
      <c r="AC28" s="535"/>
      <c r="AD28" s="535"/>
      <c r="AE28" s="535"/>
      <c r="AF28" s="535"/>
      <c r="AG28" s="529"/>
      <c r="AH28" s="529"/>
      <c r="AI28" s="529"/>
      <c r="AJ28" s="529"/>
      <c r="AK28" s="529"/>
      <c r="AL28" s="529"/>
      <c r="AM28" s="529"/>
      <c r="AN28" s="529"/>
      <c r="AO28" s="529"/>
      <c r="AP28" s="529"/>
      <c r="AQ28" s="529"/>
      <c r="AR28" s="529"/>
      <c r="AS28" s="529"/>
      <c r="AT28" s="529"/>
      <c r="AU28" s="529"/>
      <c r="AV28" s="529"/>
      <c r="AW28" s="529"/>
      <c r="AX28" s="530"/>
    </row>
    <row r="29" spans="1:50" ht="15" customHeight="1" x14ac:dyDescent="0.25">
      <c r="A29" s="536" t="str">
        <f>IF(A26="","",LOOKUP(A26,BoonRef!$A$2:$A$430,BoonRef!$N$2:$N$430))</f>
        <v/>
      </c>
      <c r="B29" s="535"/>
      <c r="C29" s="535"/>
      <c r="D29" s="535"/>
      <c r="E29" s="535"/>
      <c r="F29" s="535"/>
      <c r="G29" s="535"/>
      <c r="H29" s="535"/>
      <c r="I29" s="535"/>
      <c r="J29" s="529"/>
      <c r="K29" s="529"/>
      <c r="L29" s="529"/>
      <c r="M29" s="529"/>
      <c r="N29" s="529"/>
      <c r="O29" s="529"/>
      <c r="P29" s="529"/>
      <c r="Q29" s="529"/>
      <c r="R29" s="529"/>
      <c r="S29" s="529"/>
      <c r="T29" s="529"/>
      <c r="U29" s="529"/>
      <c r="V29" s="529"/>
      <c r="W29" s="529"/>
      <c r="X29" s="529"/>
      <c r="Y29" s="530"/>
      <c r="Z29" s="536"/>
      <c r="AA29" s="535"/>
      <c r="AB29" s="535"/>
      <c r="AC29" s="535"/>
      <c r="AD29" s="535"/>
      <c r="AE29" s="535"/>
      <c r="AF29" s="535"/>
      <c r="AG29" s="529"/>
      <c r="AH29" s="529"/>
      <c r="AI29" s="529"/>
      <c r="AJ29" s="529"/>
      <c r="AK29" s="529"/>
      <c r="AL29" s="529"/>
      <c r="AM29" s="529"/>
      <c r="AN29" s="529"/>
      <c r="AO29" s="529"/>
      <c r="AP29" s="529"/>
      <c r="AQ29" s="529"/>
      <c r="AR29" s="529"/>
      <c r="AS29" s="529"/>
      <c r="AT29" s="529"/>
      <c r="AU29" s="529"/>
      <c r="AV29" s="529"/>
      <c r="AW29" s="529"/>
      <c r="AX29" s="530"/>
    </row>
    <row r="30" spans="1:50" ht="15" customHeight="1" thickBot="1" x14ac:dyDescent="0.3">
      <c r="A30" s="537"/>
      <c r="B30" s="538"/>
      <c r="C30" s="538"/>
      <c r="D30" s="538"/>
      <c r="E30" s="538"/>
      <c r="F30" s="538"/>
      <c r="G30" s="538"/>
      <c r="H30" s="538"/>
      <c r="I30" s="538"/>
      <c r="J30" s="531"/>
      <c r="K30" s="531"/>
      <c r="L30" s="531"/>
      <c r="M30" s="531"/>
      <c r="N30" s="531"/>
      <c r="O30" s="531"/>
      <c r="P30" s="531"/>
      <c r="Q30" s="531"/>
      <c r="R30" s="531"/>
      <c r="S30" s="531"/>
      <c r="T30" s="531"/>
      <c r="U30" s="531"/>
      <c r="V30" s="531"/>
      <c r="W30" s="531"/>
      <c r="X30" s="531"/>
      <c r="Y30" s="532"/>
      <c r="Z30" s="537"/>
      <c r="AA30" s="538"/>
      <c r="AB30" s="538"/>
      <c r="AC30" s="538"/>
      <c r="AD30" s="538"/>
      <c r="AE30" s="538"/>
      <c r="AF30" s="538"/>
      <c r="AG30" s="531"/>
      <c r="AH30" s="531"/>
      <c r="AI30" s="531"/>
      <c r="AJ30" s="531"/>
      <c r="AK30" s="531"/>
      <c r="AL30" s="531"/>
      <c r="AM30" s="531"/>
      <c r="AN30" s="531"/>
      <c r="AO30" s="531"/>
      <c r="AP30" s="531"/>
      <c r="AQ30" s="531"/>
      <c r="AR30" s="531"/>
      <c r="AS30" s="531"/>
      <c r="AT30" s="531"/>
      <c r="AU30" s="531"/>
      <c r="AV30" s="531"/>
      <c r="AW30" s="531"/>
      <c r="AX30" s="532"/>
    </row>
    <row r="31" spans="1:50" ht="15" customHeight="1" x14ac:dyDescent="0.25">
      <c r="A31" s="524"/>
      <c r="B31" s="525"/>
      <c r="C31" s="525"/>
      <c r="D31" s="525"/>
      <c r="E31" s="525"/>
      <c r="F31" s="525"/>
      <c r="G31" s="525"/>
      <c r="H31" s="526" t="str">
        <f>IF(A32="","",LOOKUP(A32,BoonRef!$A$2:$A$430,BoonRef!$C$2:$C$430))</f>
        <v/>
      </c>
      <c r="I31" s="526"/>
      <c r="J31" s="527"/>
      <c r="K31" s="527"/>
      <c r="L31" s="527"/>
      <c r="M31" s="527"/>
      <c r="N31" s="527"/>
      <c r="O31" s="527"/>
      <c r="P31" s="527"/>
      <c r="Q31" s="527"/>
      <c r="R31" s="527"/>
      <c r="S31" s="527"/>
      <c r="T31" s="527"/>
      <c r="U31" s="527"/>
      <c r="V31" s="527"/>
      <c r="W31" s="527"/>
      <c r="X31" s="527"/>
      <c r="Y31" s="528"/>
      <c r="Z31" s="524"/>
      <c r="AA31" s="525"/>
      <c r="AB31" s="525"/>
      <c r="AC31" s="525"/>
      <c r="AD31" s="525"/>
      <c r="AE31" s="526" t="str">
        <f>IF(Z32="","",LOOKUP(Z32,KanckRef!$A$2:$A$170,KanckRef!$E$2:$E$170))</f>
        <v/>
      </c>
      <c r="AF31" s="526"/>
      <c r="AG31" s="527"/>
      <c r="AH31" s="527"/>
      <c r="AI31" s="527"/>
      <c r="AJ31" s="527"/>
      <c r="AK31" s="527"/>
      <c r="AL31" s="527"/>
      <c r="AM31" s="527"/>
      <c r="AN31" s="527"/>
      <c r="AO31" s="527"/>
      <c r="AP31" s="527"/>
      <c r="AQ31" s="527"/>
      <c r="AR31" s="527"/>
      <c r="AS31" s="527"/>
      <c r="AT31" s="527"/>
      <c r="AU31" s="527"/>
      <c r="AV31" s="527"/>
      <c r="AW31" s="527"/>
      <c r="AX31" s="528"/>
    </row>
    <row r="32" spans="1:50" ht="15" customHeight="1" x14ac:dyDescent="0.25">
      <c r="A32" s="533"/>
      <c r="B32" s="534"/>
      <c r="C32" s="534"/>
      <c r="D32" s="534"/>
      <c r="E32" s="534"/>
      <c r="F32" s="534"/>
      <c r="G32" s="534"/>
      <c r="H32" s="535" t="str">
        <f>IF(A32="","",LOOKUP(A32,BoonRef!$A$2:$A$430,BoonRef!$P$2:$P$430))</f>
        <v/>
      </c>
      <c r="I32" s="535"/>
      <c r="J32" s="529"/>
      <c r="K32" s="529"/>
      <c r="L32" s="529"/>
      <c r="M32" s="529"/>
      <c r="N32" s="529"/>
      <c r="O32" s="529"/>
      <c r="P32" s="529"/>
      <c r="Q32" s="529"/>
      <c r="R32" s="529"/>
      <c r="S32" s="529"/>
      <c r="T32" s="529"/>
      <c r="U32" s="529"/>
      <c r="V32" s="529"/>
      <c r="W32" s="529"/>
      <c r="X32" s="529"/>
      <c r="Y32" s="530"/>
      <c r="Z32" s="533"/>
      <c r="AA32" s="534"/>
      <c r="AB32" s="534"/>
      <c r="AC32" s="534"/>
      <c r="AD32" s="534"/>
      <c r="AE32" s="535" t="str">
        <f>IF(Z32="","",LOOKUP(Z32,KanckRef!$A$2:$A$170,KanckRef!$F$2:$F$170))</f>
        <v/>
      </c>
      <c r="AF32" s="535"/>
      <c r="AG32" s="529"/>
      <c r="AH32" s="529"/>
      <c r="AI32" s="529"/>
      <c r="AJ32" s="529"/>
      <c r="AK32" s="529"/>
      <c r="AL32" s="529"/>
      <c r="AM32" s="529"/>
      <c r="AN32" s="529"/>
      <c r="AO32" s="529"/>
      <c r="AP32" s="529"/>
      <c r="AQ32" s="529"/>
      <c r="AR32" s="529"/>
      <c r="AS32" s="529"/>
      <c r="AT32" s="529"/>
      <c r="AU32" s="529"/>
      <c r="AV32" s="529"/>
      <c r="AW32" s="529"/>
      <c r="AX32" s="530"/>
    </row>
    <row r="33" spans="1:50" ht="15" customHeight="1" x14ac:dyDescent="0.25">
      <c r="A33" s="533"/>
      <c r="B33" s="534"/>
      <c r="C33" s="534"/>
      <c r="D33" s="534"/>
      <c r="E33" s="534"/>
      <c r="F33" s="534"/>
      <c r="G33" s="534"/>
      <c r="H33" s="535" t="str">
        <f>IF(A32="","",LOOKUP(A32,BoonRef!$A$2:$A$430,BoonRef!$Q$2:$Q$430))</f>
        <v/>
      </c>
      <c r="I33" s="535"/>
      <c r="J33" s="529"/>
      <c r="K33" s="529"/>
      <c r="L33" s="529"/>
      <c r="M33" s="529"/>
      <c r="N33" s="529"/>
      <c r="O33" s="529"/>
      <c r="P33" s="529"/>
      <c r="Q33" s="529"/>
      <c r="R33" s="529"/>
      <c r="S33" s="529"/>
      <c r="T33" s="529"/>
      <c r="U33" s="529"/>
      <c r="V33" s="529"/>
      <c r="W33" s="529"/>
      <c r="X33" s="529"/>
      <c r="Y33" s="530"/>
      <c r="Z33" s="533"/>
      <c r="AA33" s="534"/>
      <c r="AB33" s="534"/>
      <c r="AC33" s="534"/>
      <c r="AD33" s="534"/>
      <c r="AE33" s="535"/>
      <c r="AF33" s="535"/>
      <c r="AG33" s="529"/>
      <c r="AH33" s="529"/>
      <c r="AI33" s="529"/>
      <c r="AJ33" s="529"/>
      <c r="AK33" s="529"/>
      <c r="AL33" s="529"/>
      <c r="AM33" s="529"/>
      <c r="AN33" s="529"/>
      <c r="AO33" s="529"/>
      <c r="AP33" s="529"/>
      <c r="AQ33" s="529"/>
      <c r="AR33" s="529"/>
      <c r="AS33" s="529"/>
      <c r="AT33" s="529"/>
      <c r="AU33" s="529"/>
      <c r="AV33" s="529"/>
      <c r="AW33" s="529"/>
      <c r="AX33" s="530"/>
    </row>
    <row r="34" spans="1:50" ht="15" customHeight="1" x14ac:dyDescent="0.25">
      <c r="A34" s="536" t="str">
        <f>IF(A32="","",LOOKUP(A32,BoonRef!$A$2:$A$430,BoonRef!$O$2:$O$430))</f>
        <v/>
      </c>
      <c r="B34" s="535"/>
      <c r="C34" s="535"/>
      <c r="D34" s="535"/>
      <c r="E34" s="535"/>
      <c r="F34" s="535"/>
      <c r="G34" s="535"/>
      <c r="H34" s="535"/>
      <c r="I34" s="535"/>
      <c r="J34" s="529"/>
      <c r="K34" s="529"/>
      <c r="L34" s="529"/>
      <c r="M34" s="529"/>
      <c r="N34" s="529"/>
      <c r="O34" s="529"/>
      <c r="P34" s="529"/>
      <c r="Q34" s="529"/>
      <c r="R34" s="529"/>
      <c r="S34" s="529"/>
      <c r="T34" s="529"/>
      <c r="U34" s="529"/>
      <c r="V34" s="529"/>
      <c r="W34" s="529"/>
      <c r="X34" s="529"/>
      <c r="Y34" s="530"/>
      <c r="Z34" s="536" t="str">
        <f>IF(Z32="","",LOOKUP(Z32,KanckRef!$A$2:$A$170,KanckRef!$D$2:$D$170))</f>
        <v/>
      </c>
      <c r="AA34" s="535"/>
      <c r="AB34" s="535"/>
      <c r="AC34" s="535"/>
      <c r="AD34" s="535"/>
      <c r="AE34" s="535"/>
      <c r="AF34" s="535"/>
      <c r="AG34" s="529"/>
      <c r="AH34" s="529"/>
      <c r="AI34" s="529"/>
      <c r="AJ34" s="529"/>
      <c r="AK34" s="529"/>
      <c r="AL34" s="529"/>
      <c r="AM34" s="529"/>
      <c r="AN34" s="529"/>
      <c r="AO34" s="529"/>
      <c r="AP34" s="529"/>
      <c r="AQ34" s="529"/>
      <c r="AR34" s="529"/>
      <c r="AS34" s="529"/>
      <c r="AT34" s="529"/>
      <c r="AU34" s="529"/>
      <c r="AV34" s="529"/>
      <c r="AW34" s="529"/>
      <c r="AX34" s="530"/>
    </row>
    <row r="35" spans="1:50" ht="15" customHeight="1" x14ac:dyDescent="0.25">
      <c r="A35" s="536" t="str">
        <f>IF(A32="","",LOOKUP(A32,BoonRef!$A$2:$A$430,BoonRef!$N$2:$N$430))</f>
        <v/>
      </c>
      <c r="B35" s="535"/>
      <c r="C35" s="535"/>
      <c r="D35" s="535"/>
      <c r="E35" s="535"/>
      <c r="F35" s="535"/>
      <c r="G35" s="535"/>
      <c r="H35" s="535"/>
      <c r="I35" s="535"/>
      <c r="J35" s="529"/>
      <c r="K35" s="529"/>
      <c r="L35" s="529"/>
      <c r="M35" s="529"/>
      <c r="N35" s="529"/>
      <c r="O35" s="529"/>
      <c r="P35" s="529"/>
      <c r="Q35" s="529"/>
      <c r="R35" s="529"/>
      <c r="S35" s="529"/>
      <c r="T35" s="529"/>
      <c r="U35" s="529"/>
      <c r="V35" s="529"/>
      <c r="W35" s="529"/>
      <c r="X35" s="529"/>
      <c r="Y35" s="530"/>
      <c r="Z35" s="536"/>
      <c r="AA35" s="535"/>
      <c r="AB35" s="535"/>
      <c r="AC35" s="535"/>
      <c r="AD35" s="535"/>
      <c r="AE35" s="535"/>
      <c r="AF35" s="535"/>
      <c r="AG35" s="529"/>
      <c r="AH35" s="529"/>
      <c r="AI35" s="529"/>
      <c r="AJ35" s="529"/>
      <c r="AK35" s="529"/>
      <c r="AL35" s="529"/>
      <c r="AM35" s="529"/>
      <c r="AN35" s="529"/>
      <c r="AO35" s="529"/>
      <c r="AP35" s="529"/>
      <c r="AQ35" s="529"/>
      <c r="AR35" s="529"/>
      <c r="AS35" s="529"/>
      <c r="AT35" s="529"/>
      <c r="AU35" s="529"/>
      <c r="AV35" s="529"/>
      <c r="AW35" s="529"/>
      <c r="AX35" s="530"/>
    </row>
    <row r="36" spans="1:50" ht="15" customHeight="1" thickBot="1" x14ac:dyDescent="0.3">
      <c r="A36" s="537"/>
      <c r="B36" s="538"/>
      <c r="C36" s="538"/>
      <c r="D36" s="538"/>
      <c r="E36" s="538"/>
      <c r="F36" s="538"/>
      <c r="G36" s="538"/>
      <c r="H36" s="538"/>
      <c r="I36" s="538"/>
      <c r="J36" s="531"/>
      <c r="K36" s="531"/>
      <c r="L36" s="531"/>
      <c r="M36" s="531"/>
      <c r="N36" s="531"/>
      <c r="O36" s="531"/>
      <c r="P36" s="531"/>
      <c r="Q36" s="531"/>
      <c r="R36" s="531"/>
      <c r="S36" s="531"/>
      <c r="T36" s="531"/>
      <c r="U36" s="531"/>
      <c r="V36" s="531"/>
      <c r="W36" s="531"/>
      <c r="X36" s="531"/>
      <c r="Y36" s="532"/>
      <c r="Z36" s="537"/>
      <c r="AA36" s="538"/>
      <c r="AB36" s="538"/>
      <c r="AC36" s="538"/>
      <c r="AD36" s="538"/>
      <c r="AE36" s="538"/>
      <c r="AF36" s="538"/>
      <c r="AG36" s="531"/>
      <c r="AH36" s="531"/>
      <c r="AI36" s="531"/>
      <c r="AJ36" s="531"/>
      <c r="AK36" s="531"/>
      <c r="AL36" s="531"/>
      <c r="AM36" s="531"/>
      <c r="AN36" s="531"/>
      <c r="AO36" s="531"/>
      <c r="AP36" s="531"/>
      <c r="AQ36" s="531"/>
      <c r="AR36" s="531"/>
      <c r="AS36" s="531"/>
      <c r="AT36" s="531"/>
      <c r="AU36" s="531"/>
      <c r="AV36" s="531"/>
      <c r="AW36" s="531"/>
      <c r="AX36" s="532"/>
    </row>
    <row r="37" spans="1:50" ht="15" customHeight="1" x14ac:dyDescent="0.25">
      <c r="A37" s="524"/>
      <c r="B37" s="525"/>
      <c r="C37" s="525"/>
      <c r="D37" s="525"/>
      <c r="E37" s="525"/>
      <c r="F37" s="525"/>
      <c r="G37" s="525"/>
      <c r="H37" s="526" t="str">
        <f>IF(A38="","",LOOKUP(A38,BoonRef!$A$2:$A$430,BoonRef!$C$2:$C$430))</f>
        <v/>
      </c>
      <c r="I37" s="526"/>
      <c r="J37" s="527"/>
      <c r="K37" s="527"/>
      <c r="L37" s="527"/>
      <c r="M37" s="527"/>
      <c r="N37" s="527"/>
      <c r="O37" s="527"/>
      <c r="P37" s="527"/>
      <c r="Q37" s="527"/>
      <c r="R37" s="527"/>
      <c r="S37" s="527"/>
      <c r="T37" s="527"/>
      <c r="U37" s="527"/>
      <c r="V37" s="527"/>
      <c r="W37" s="527"/>
      <c r="X37" s="527"/>
      <c r="Y37" s="528"/>
      <c r="Z37" s="524"/>
      <c r="AA37" s="525"/>
      <c r="AB37" s="525"/>
      <c r="AC37" s="525"/>
      <c r="AD37" s="525"/>
      <c r="AE37" s="526" t="str">
        <f>IF(Z38="","",LOOKUP(Z38,KanckRef!$A$2:$A$170,KanckRef!$E$2:$E$170))</f>
        <v/>
      </c>
      <c r="AF37" s="526"/>
      <c r="AG37" s="527"/>
      <c r="AH37" s="527"/>
      <c r="AI37" s="527"/>
      <c r="AJ37" s="527"/>
      <c r="AK37" s="527"/>
      <c r="AL37" s="527"/>
      <c r="AM37" s="527"/>
      <c r="AN37" s="527"/>
      <c r="AO37" s="527"/>
      <c r="AP37" s="527"/>
      <c r="AQ37" s="527"/>
      <c r="AR37" s="527"/>
      <c r="AS37" s="527"/>
      <c r="AT37" s="527"/>
      <c r="AU37" s="527"/>
      <c r="AV37" s="527"/>
      <c r="AW37" s="527"/>
      <c r="AX37" s="528"/>
    </row>
    <row r="38" spans="1:50" ht="15" customHeight="1" x14ac:dyDescent="0.25">
      <c r="A38" s="533"/>
      <c r="B38" s="534"/>
      <c r="C38" s="534"/>
      <c r="D38" s="534"/>
      <c r="E38" s="534"/>
      <c r="F38" s="534"/>
      <c r="G38" s="534"/>
      <c r="H38" s="535" t="str">
        <f>IF(A38="","",LOOKUP(A38,BoonRef!$A$2:$A$430,BoonRef!$P$2:$P$430))</f>
        <v/>
      </c>
      <c r="I38" s="535"/>
      <c r="J38" s="529"/>
      <c r="K38" s="529"/>
      <c r="L38" s="529"/>
      <c r="M38" s="529"/>
      <c r="N38" s="529"/>
      <c r="O38" s="529"/>
      <c r="P38" s="529"/>
      <c r="Q38" s="529"/>
      <c r="R38" s="529"/>
      <c r="S38" s="529"/>
      <c r="T38" s="529"/>
      <c r="U38" s="529"/>
      <c r="V38" s="529"/>
      <c r="W38" s="529"/>
      <c r="X38" s="529"/>
      <c r="Y38" s="530"/>
      <c r="Z38" s="533"/>
      <c r="AA38" s="534"/>
      <c r="AB38" s="534"/>
      <c r="AC38" s="534"/>
      <c r="AD38" s="534"/>
      <c r="AE38" s="535" t="str">
        <f>IF(Z38="","",LOOKUP(Z38,KanckRef!$A$2:$A$170,KanckRef!$F$2:$F$170))</f>
        <v/>
      </c>
      <c r="AF38" s="535"/>
      <c r="AG38" s="529"/>
      <c r="AH38" s="529"/>
      <c r="AI38" s="529"/>
      <c r="AJ38" s="529"/>
      <c r="AK38" s="529"/>
      <c r="AL38" s="529"/>
      <c r="AM38" s="529"/>
      <c r="AN38" s="529"/>
      <c r="AO38" s="529"/>
      <c r="AP38" s="529"/>
      <c r="AQ38" s="529"/>
      <c r="AR38" s="529"/>
      <c r="AS38" s="529"/>
      <c r="AT38" s="529"/>
      <c r="AU38" s="529"/>
      <c r="AV38" s="529"/>
      <c r="AW38" s="529"/>
      <c r="AX38" s="530"/>
    </row>
    <row r="39" spans="1:50" ht="15" customHeight="1" x14ac:dyDescent="0.25">
      <c r="A39" s="533"/>
      <c r="B39" s="534"/>
      <c r="C39" s="534"/>
      <c r="D39" s="534"/>
      <c r="E39" s="534"/>
      <c r="F39" s="534"/>
      <c r="G39" s="534"/>
      <c r="H39" s="535" t="str">
        <f>IF(A38="","",LOOKUP(A38,BoonRef!$A$2:$A$430,BoonRef!$Q$2:$Q$430))</f>
        <v/>
      </c>
      <c r="I39" s="535"/>
      <c r="J39" s="529"/>
      <c r="K39" s="529"/>
      <c r="L39" s="529"/>
      <c r="M39" s="529"/>
      <c r="N39" s="529"/>
      <c r="O39" s="529"/>
      <c r="P39" s="529"/>
      <c r="Q39" s="529"/>
      <c r="R39" s="529"/>
      <c r="S39" s="529"/>
      <c r="T39" s="529"/>
      <c r="U39" s="529"/>
      <c r="V39" s="529"/>
      <c r="W39" s="529"/>
      <c r="X39" s="529"/>
      <c r="Y39" s="530"/>
      <c r="Z39" s="533"/>
      <c r="AA39" s="534"/>
      <c r="AB39" s="534"/>
      <c r="AC39" s="534"/>
      <c r="AD39" s="534"/>
      <c r="AE39" s="535"/>
      <c r="AF39" s="535"/>
      <c r="AG39" s="529"/>
      <c r="AH39" s="529"/>
      <c r="AI39" s="529"/>
      <c r="AJ39" s="529"/>
      <c r="AK39" s="529"/>
      <c r="AL39" s="529"/>
      <c r="AM39" s="529"/>
      <c r="AN39" s="529"/>
      <c r="AO39" s="529"/>
      <c r="AP39" s="529"/>
      <c r="AQ39" s="529"/>
      <c r="AR39" s="529"/>
      <c r="AS39" s="529"/>
      <c r="AT39" s="529"/>
      <c r="AU39" s="529"/>
      <c r="AV39" s="529"/>
      <c r="AW39" s="529"/>
      <c r="AX39" s="530"/>
    </row>
    <row r="40" spans="1:50" ht="15" customHeight="1" x14ac:dyDescent="0.25">
      <c r="A40" s="536" t="str">
        <f>IF(A38="","",LOOKUP(A38,BoonRef!$A$2:$A$430,BoonRef!$O$2:$O$430))</f>
        <v/>
      </c>
      <c r="B40" s="535"/>
      <c r="C40" s="535"/>
      <c r="D40" s="535"/>
      <c r="E40" s="535"/>
      <c r="F40" s="535"/>
      <c r="G40" s="535"/>
      <c r="H40" s="535"/>
      <c r="I40" s="535"/>
      <c r="J40" s="529"/>
      <c r="K40" s="529"/>
      <c r="L40" s="529"/>
      <c r="M40" s="529"/>
      <c r="N40" s="529"/>
      <c r="O40" s="529"/>
      <c r="P40" s="529"/>
      <c r="Q40" s="529"/>
      <c r="R40" s="529"/>
      <c r="S40" s="529"/>
      <c r="T40" s="529"/>
      <c r="U40" s="529"/>
      <c r="V40" s="529"/>
      <c r="W40" s="529"/>
      <c r="X40" s="529"/>
      <c r="Y40" s="530"/>
      <c r="Z40" s="536" t="str">
        <f>IF(Z38="","",LOOKUP(Z38,KanckRef!$A$2:$A$170,KanckRef!$D$2:$D$170))</f>
        <v/>
      </c>
      <c r="AA40" s="535"/>
      <c r="AB40" s="535"/>
      <c r="AC40" s="535"/>
      <c r="AD40" s="535"/>
      <c r="AE40" s="535"/>
      <c r="AF40" s="535"/>
      <c r="AG40" s="529"/>
      <c r="AH40" s="529"/>
      <c r="AI40" s="529"/>
      <c r="AJ40" s="529"/>
      <c r="AK40" s="529"/>
      <c r="AL40" s="529"/>
      <c r="AM40" s="529"/>
      <c r="AN40" s="529"/>
      <c r="AO40" s="529"/>
      <c r="AP40" s="529"/>
      <c r="AQ40" s="529"/>
      <c r="AR40" s="529"/>
      <c r="AS40" s="529"/>
      <c r="AT40" s="529"/>
      <c r="AU40" s="529"/>
      <c r="AV40" s="529"/>
      <c r="AW40" s="529"/>
      <c r="AX40" s="530"/>
    </row>
    <row r="41" spans="1:50" ht="15" customHeight="1" x14ac:dyDescent="0.25">
      <c r="A41" s="536" t="str">
        <f>IF(A38="","",LOOKUP(A38,BoonRef!$A$2:$A$430,BoonRef!$N$2:$N$430))</f>
        <v/>
      </c>
      <c r="B41" s="535"/>
      <c r="C41" s="535"/>
      <c r="D41" s="535"/>
      <c r="E41" s="535"/>
      <c r="F41" s="535"/>
      <c r="G41" s="535"/>
      <c r="H41" s="535"/>
      <c r="I41" s="535"/>
      <c r="J41" s="529"/>
      <c r="K41" s="529"/>
      <c r="L41" s="529"/>
      <c r="M41" s="529"/>
      <c r="N41" s="529"/>
      <c r="O41" s="529"/>
      <c r="P41" s="529"/>
      <c r="Q41" s="529"/>
      <c r="R41" s="529"/>
      <c r="S41" s="529"/>
      <c r="T41" s="529"/>
      <c r="U41" s="529"/>
      <c r="V41" s="529"/>
      <c r="W41" s="529"/>
      <c r="X41" s="529"/>
      <c r="Y41" s="530"/>
      <c r="Z41" s="536"/>
      <c r="AA41" s="535"/>
      <c r="AB41" s="535"/>
      <c r="AC41" s="535"/>
      <c r="AD41" s="535"/>
      <c r="AE41" s="535"/>
      <c r="AF41" s="535"/>
      <c r="AG41" s="529"/>
      <c r="AH41" s="529"/>
      <c r="AI41" s="529"/>
      <c r="AJ41" s="529"/>
      <c r="AK41" s="529"/>
      <c r="AL41" s="529"/>
      <c r="AM41" s="529"/>
      <c r="AN41" s="529"/>
      <c r="AO41" s="529"/>
      <c r="AP41" s="529"/>
      <c r="AQ41" s="529"/>
      <c r="AR41" s="529"/>
      <c r="AS41" s="529"/>
      <c r="AT41" s="529"/>
      <c r="AU41" s="529"/>
      <c r="AV41" s="529"/>
      <c r="AW41" s="529"/>
      <c r="AX41" s="530"/>
    </row>
    <row r="42" spans="1:50" ht="15" customHeight="1" thickBot="1" x14ac:dyDescent="0.3">
      <c r="A42" s="537"/>
      <c r="B42" s="538"/>
      <c r="C42" s="538"/>
      <c r="D42" s="538"/>
      <c r="E42" s="538"/>
      <c r="F42" s="538"/>
      <c r="G42" s="538"/>
      <c r="H42" s="538"/>
      <c r="I42" s="538"/>
      <c r="J42" s="531"/>
      <c r="K42" s="531"/>
      <c r="L42" s="531"/>
      <c r="M42" s="531"/>
      <c r="N42" s="531"/>
      <c r="O42" s="531"/>
      <c r="P42" s="531"/>
      <c r="Q42" s="531"/>
      <c r="R42" s="531"/>
      <c r="S42" s="531"/>
      <c r="T42" s="531"/>
      <c r="U42" s="531"/>
      <c r="V42" s="531"/>
      <c r="W42" s="531"/>
      <c r="X42" s="531"/>
      <c r="Y42" s="532"/>
      <c r="Z42" s="537"/>
      <c r="AA42" s="538"/>
      <c r="AB42" s="538"/>
      <c r="AC42" s="538"/>
      <c r="AD42" s="538"/>
      <c r="AE42" s="538"/>
      <c r="AF42" s="538"/>
      <c r="AG42" s="531"/>
      <c r="AH42" s="531"/>
      <c r="AI42" s="531"/>
      <c r="AJ42" s="531"/>
      <c r="AK42" s="531"/>
      <c r="AL42" s="531"/>
      <c r="AM42" s="531"/>
      <c r="AN42" s="531"/>
      <c r="AO42" s="531"/>
      <c r="AP42" s="531"/>
      <c r="AQ42" s="531"/>
      <c r="AR42" s="531"/>
      <c r="AS42" s="531"/>
      <c r="AT42" s="531"/>
      <c r="AU42" s="531"/>
      <c r="AV42" s="531"/>
      <c r="AW42" s="531"/>
      <c r="AX42" s="532"/>
    </row>
    <row r="43" spans="1:50" ht="15" customHeight="1" x14ac:dyDescent="0.25">
      <c r="A43" s="524"/>
      <c r="B43" s="525"/>
      <c r="C43" s="525"/>
      <c r="D43" s="525"/>
      <c r="E43" s="525"/>
      <c r="F43" s="525"/>
      <c r="G43" s="525"/>
      <c r="H43" s="526" t="str">
        <f>IF(A44="","",LOOKUP(A44,BoonRef!$A$2:$A$430,BoonRef!$C$2:$C$430))</f>
        <v/>
      </c>
      <c r="I43" s="526"/>
      <c r="J43" s="527"/>
      <c r="K43" s="527"/>
      <c r="L43" s="527"/>
      <c r="M43" s="527"/>
      <c r="N43" s="527"/>
      <c r="O43" s="527"/>
      <c r="P43" s="527"/>
      <c r="Q43" s="527"/>
      <c r="R43" s="527"/>
      <c r="S43" s="527"/>
      <c r="T43" s="527"/>
      <c r="U43" s="527"/>
      <c r="V43" s="527"/>
      <c r="W43" s="527"/>
      <c r="X43" s="527"/>
      <c r="Y43" s="528"/>
      <c r="Z43" s="524"/>
      <c r="AA43" s="525"/>
      <c r="AB43" s="525"/>
      <c r="AC43" s="525"/>
      <c r="AD43" s="525"/>
      <c r="AE43" s="526" t="str">
        <f>IF(Z44="","",LOOKUP(Z44,KanckRef!$A$2:$A$170,KanckRef!$E$2:$E$170))</f>
        <v/>
      </c>
      <c r="AF43" s="526"/>
      <c r="AG43" s="527"/>
      <c r="AH43" s="527"/>
      <c r="AI43" s="527"/>
      <c r="AJ43" s="527"/>
      <c r="AK43" s="527"/>
      <c r="AL43" s="527"/>
      <c r="AM43" s="527"/>
      <c r="AN43" s="527"/>
      <c r="AO43" s="527"/>
      <c r="AP43" s="527"/>
      <c r="AQ43" s="527"/>
      <c r="AR43" s="527"/>
      <c r="AS43" s="527"/>
      <c r="AT43" s="527"/>
      <c r="AU43" s="527"/>
      <c r="AV43" s="527"/>
      <c r="AW43" s="527"/>
      <c r="AX43" s="528"/>
    </row>
    <row r="44" spans="1:50" ht="15" customHeight="1" x14ac:dyDescent="0.25">
      <c r="A44" s="533"/>
      <c r="B44" s="534"/>
      <c r="C44" s="534"/>
      <c r="D44" s="534"/>
      <c r="E44" s="534"/>
      <c r="F44" s="534"/>
      <c r="G44" s="534"/>
      <c r="H44" s="535" t="str">
        <f>IF(A44="","",LOOKUP(A44,BoonRef!$A$2:$A$430,BoonRef!$P$2:$P$430))</f>
        <v/>
      </c>
      <c r="I44" s="535"/>
      <c r="J44" s="529"/>
      <c r="K44" s="529"/>
      <c r="L44" s="529"/>
      <c r="M44" s="529"/>
      <c r="N44" s="529"/>
      <c r="O44" s="529"/>
      <c r="P44" s="529"/>
      <c r="Q44" s="529"/>
      <c r="R44" s="529"/>
      <c r="S44" s="529"/>
      <c r="T44" s="529"/>
      <c r="U44" s="529"/>
      <c r="V44" s="529"/>
      <c r="W44" s="529"/>
      <c r="X44" s="529"/>
      <c r="Y44" s="530"/>
      <c r="Z44" s="533"/>
      <c r="AA44" s="534"/>
      <c r="AB44" s="534"/>
      <c r="AC44" s="534"/>
      <c r="AD44" s="534"/>
      <c r="AE44" s="535" t="str">
        <f>IF(Z44="","",LOOKUP(Z44,KanckRef!$A$2:$A$170,KanckRef!$F$2:$F$170))</f>
        <v/>
      </c>
      <c r="AF44" s="535"/>
      <c r="AG44" s="529"/>
      <c r="AH44" s="529"/>
      <c r="AI44" s="529"/>
      <c r="AJ44" s="529"/>
      <c r="AK44" s="529"/>
      <c r="AL44" s="529"/>
      <c r="AM44" s="529"/>
      <c r="AN44" s="529"/>
      <c r="AO44" s="529"/>
      <c r="AP44" s="529"/>
      <c r="AQ44" s="529"/>
      <c r="AR44" s="529"/>
      <c r="AS44" s="529"/>
      <c r="AT44" s="529"/>
      <c r="AU44" s="529"/>
      <c r="AV44" s="529"/>
      <c r="AW44" s="529"/>
      <c r="AX44" s="530"/>
    </row>
    <row r="45" spans="1:50" ht="15" customHeight="1" x14ac:dyDescent="0.25">
      <c r="A45" s="533"/>
      <c r="B45" s="534"/>
      <c r="C45" s="534"/>
      <c r="D45" s="534"/>
      <c r="E45" s="534"/>
      <c r="F45" s="534"/>
      <c r="G45" s="534"/>
      <c r="H45" s="535" t="str">
        <f>IF(A44="","",LOOKUP(A44,BoonRef!$A$2:$A$430,BoonRef!$Q$2:$Q$430))</f>
        <v/>
      </c>
      <c r="I45" s="535"/>
      <c r="J45" s="529"/>
      <c r="K45" s="529"/>
      <c r="L45" s="529"/>
      <c r="M45" s="529"/>
      <c r="N45" s="529"/>
      <c r="O45" s="529"/>
      <c r="P45" s="529"/>
      <c r="Q45" s="529"/>
      <c r="R45" s="529"/>
      <c r="S45" s="529"/>
      <c r="T45" s="529"/>
      <c r="U45" s="529"/>
      <c r="V45" s="529"/>
      <c r="W45" s="529"/>
      <c r="X45" s="529"/>
      <c r="Y45" s="530"/>
      <c r="Z45" s="533"/>
      <c r="AA45" s="534"/>
      <c r="AB45" s="534"/>
      <c r="AC45" s="534"/>
      <c r="AD45" s="534"/>
      <c r="AE45" s="535"/>
      <c r="AF45" s="535"/>
      <c r="AG45" s="529"/>
      <c r="AH45" s="529"/>
      <c r="AI45" s="529"/>
      <c r="AJ45" s="529"/>
      <c r="AK45" s="529"/>
      <c r="AL45" s="529"/>
      <c r="AM45" s="529"/>
      <c r="AN45" s="529"/>
      <c r="AO45" s="529"/>
      <c r="AP45" s="529"/>
      <c r="AQ45" s="529"/>
      <c r="AR45" s="529"/>
      <c r="AS45" s="529"/>
      <c r="AT45" s="529"/>
      <c r="AU45" s="529"/>
      <c r="AV45" s="529"/>
      <c r="AW45" s="529"/>
      <c r="AX45" s="530"/>
    </row>
    <row r="46" spans="1:50" ht="15" customHeight="1" x14ac:dyDescent="0.25">
      <c r="A46" s="536" t="str">
        <f>IF(A44="","",LOOKUP(A44,BoonRef!$A$2:$A$430,BoonRef!$O$2:$O$430))</f>
        <v/>
      </c>
      <c r="B46" s="535"/>
      <c r="C46" s="535"/>
      <c r="D46" s="535"/>
      <c r="E46" s="535"/>
      <c r="F46" s="535"/>
      <c r="G46" s="535"/>
      <c r="H46" s="535"/>
      <c r="I46" s="535"/>
      <c r="J46" s="529"/>
      <c r="K46" s="529"/>
      <c r="L46" s="529"/>
      <c r="M46" s="529"/>
      <c r="N46" s="529"/>
      <c r="O46" s="529"/>
      <c r="P46" s="529"/>
      <c r="Q46" s="529"/>
      <c r="R46" s="529"/>
      <c r="S46" s="529"/>
      <c r="T46" s="529"/>
      <c r="U46" s="529"/>
      <c r="V46" s="529"/>
      <c r="W46" s="529"/>
      <c r="X46" s="529"/>
      <c r="Y46" s="530"/>
      <c r="Z46" s="536" t="str">
        <f>IF(Z44="","",LOOKUP(Z44,KanckRef!$A$2:$A$170,KanckRef!$D$2:$D$170))</f>
        <v/>
      </c>
      <c r="AA46" s="535"/>
      <c r="AB46" s="535"/>
      <c r="AC46" s="535"/>
      <c r="AD46" s="535"/>
      <c r="AE46" s="535"/>
      <c r="AF46" s="535"/>
      <c r="AG46" s="529"/>
      <c r="AH46" s="529"/>
      <c r="AI46" s="529"/>
      <c r="AJ46" s="529"/>
      <c r="AK46" s="529"/>
      <c r="AL46" s="529"/>
      <c r="AM46" s="529"/>
      <c r="AN46" s="529"/>
      <c r="AO46" s="529"/>
      <c r="AP46" s="529"/>
      <c r="AQ46" s="529"/>
      <c r="AR46" s="529"/>
      <c r="AS46" s="529"/>
      <c r="AT46" s="529"/>
      <c r="AU46" s="529"/>
      <c r="AV46" s="529"/>
      <c r="AW46" s="529"/>
      <c r="AX46" s="530"/>
    </row>
    <row r="47" spans="1:50" ht="15" customHeight="1" x14ac:dyDescent="0.25">
      <c r="A47" s="536" t="str">
        <f>IF(A44="","",LOOKUP(A44,BoonRef!$A$2:$A$430,BoonRef!$N$2:$N$430))</f>
        <v/>
      </c>
      <c r="B47" s="535"/>
      <c r="C47" s="535"/>
      <c r="D47" s="535"/>
      <c r="E47" s="535"/>
      <c r="F47" s="535"/>
      <c r="G47" s="535"/>
      <c r="H47" s="535"/>
      <c r="I47" s="535"/>
      <c r="J47" s="529"/>
      <c r="K47" s="529"/>
      <c r="L47" s="529"/>
      <c r="M47" s="529"/>
      <c r="N47" s="529"/>
      <c r="O47" s="529"/>
      <c r="P47" s="529"/>
      <c r="Q47" s="529"/>
      <c r="R47" s="529"/>
      <c r="S47" s="529"/>
      <c r="T47" s="529"/>
      <c r="U47" s="529"/>
      <c r="V47" s="529"/>
      <c r="W47" s="529"/>
      <c r="X47" s="529"/>
      <c r="Y47" s="530"/>
      <c r="Z47" s="536"/>
      <c r="AA47" s="535"/>
      <c r="AB47" s="535"/>
      <c r="AC47" s="535"/>
      <c r="AD47" s="535"/>
      <c r="AE47" s="535"/>
      <c r="AF47" s="535"/>
      <c r="AG47" s="529"/>
      <c r="AH47" s="529"/>
      <c r="AI47" s="529"/>
      <c r="AJ47" s="529"/>
      <c r="AK47" s="529"/>
      <c r="AL47" s="529"/>
      <c r="AM47" s="529"/>
      <c r="AN47" s="529"/>
      <c r="AO47" s="529"/>
      <c r="AP47" s="529"/>
      <c r="AQ47" s="529"/>
      <c r="AR47" s="529"/>
      <c r="AS47" s="529"/>
      <c r="AT47" s="529"/>
      <c r="AU47" s="529"/>
      <c r="AV47" s="529"/>
      <c r="AW47" s="529"/>
      <c r="AX47" s="530"/>
    </row>
    <row r="48" spans="1:50" ht="15" customHeight="1" thickBot="1" x14ac:dyDescent="0.3">
      <c r="A48" s="537"/>
      <c r="B48" s="538"/>
      <c r="C48" s="538"/>
      <c r="D48" s="538"/>
      <c r="E48" s="538"/>
      <c r="F48" s="538"/>
      <c r="G48" s="538"/>
      <c r="H48" s="538"/>
      <c r="I48" s="538"/>
      <c r="J48" s="531"/>
      <c r="K48" s="531"/>
      <c r="L48" s="531"/>
      <c r="M48" s="531"/>
      <c r="N48" s="531"/>
      <c r="O48" s="531"/>
      <c r="P48" s="531"/>
      <c r="Q48" s="531"/>
      <c r="R48" s="531"/>
      <c r="S48" s="531"/>
      <c r="T48" s="531"/>
      <c r="U48" s="531"/>
      <c r="V48" s="531"/>
      <c r="W48" s="531"/>
      <c r="X48" s="531"/>
      <c r="Y48" s="532"/>
      <c r="Z48" s="537"/>
      <c r="AA48" s="538"/>
      <c r="AB48" s="538"/>
      <c r="AC48" s="538"/>
      <c r="AD48" s="538"/>
      <c r="AE48" s="538"/>
      <c r="AF48" s="538"/>
      <c r="AG48" s="531"/>
      <c r="AH48" s="531"/>
      <c r="AI48" s="531"/>
      <c r="AJ48" s="531"/>
      <c r="AK48" s="531"/>
      <c r="AL48" s="531"/>
      <c r="AM48" s="531"/>
      <c r="AN48" s="531"/>
      <c r="AO48" s="531"/>
      <c r="AP48" s="531"/>
      <c r="AQ48" s="531"/>
      <c r="AR48" s="531"/>
      <c r="AS48" s="531"/>
      <c r="AT48" s="531"/>
      <c r="AU48" s="531"/>
      <c r="AV48" s="531"/>
      <c r="AW48" s="531"/>
      <c r="AX48" s="532"/>
    </row>
    <row r="49" spans="1:50" ht="15" customHeight="1" x14ac:dyDescent="0.25">
      <c r="A49" s="524"/>
      <c r="B49" s="525"/>
      <c r="C49" s="525"/>
      <c r="D49" s="525"/>
      <c r="E49" s="525"/>
      <c r="F49" s="525"/>
      <c r="G49" s="525"/>
      <c r="H49" s="526" t="str">
        <f>IF(A50="","",LOOKUP(A50,BoonRef!$A$2:$A$430,BoonRef!$C$2:$C$430))</f>
        <v/>
      </c>
      <c r="I49" s="526"/>
      <c r="J49" s="527"/>
      <c r="K49" s="527"/>
      <c r="L49" s="527"/>
      <c r="M49" s="527"/>
      <c r="N49" s="527"/>
      <c r="O49" s="527"/>
      <c r="P49" s="527"/>
      <c r="Q49" s="527"/>
      <c r="R49" s="527"/>
      <c r="S49" s="527"/>
      <c r="T49" s="527"/>
      <c r="U49" s="527"/>
      <c r="V49" s="527"/>
      <c r="W49" s="527"/>
      <c r="X49" s="527"/>
      <c r="Y49" s="528"/>
      <c r="Z49" s="524"/>
      <c r="AA49" s="525"/>
      <c r="AB49" s="525"/>
      <c r="AC49" s="525"/>
      <c r="AD49" s="525"/>
      <c r="AE49" s="526" t="str">
        <f>IF(Z50="","",LOOKUP(Z50,KanckRef!$A$2:$A$170,KanckRef!$E$2:$E$170))</f>
        <v/>
      </c>
      <c r="AF49" s="526"/>
      <c r="AG49" s="527"/>
      <c r="AH49" s="527"/>
      <c r="AI49" s="527"/>
      <c r="AJ49" s="527"/>
      <c r="AK49" s="527"/>
      <c r="AL49" s="527"/>
      <c r="AM49" s="527"/>
      <c r="AN49" s="527"/>
      <c r="AO49" s="527"/>
      <c r="AP49" s="527"/>
      <c r="AQ49" s="527"/>
      <c r="AR49" s="527"/>
      <c r="AS49" s="527"/>
      <c r="AT49" s="527"/>
      <c r="AU49" s="527"/>
      <c r="AV49" s="527"/>
      <c r="AW49" s="527"/>
      <c r="AX49" s="528"/>
    </row>
    <row r="50" spans="1:50" ht="15" customHeight="1" x14ac:dyDescent="0.25">
      <c r="A50" s="533"/>
      <c r="B50" s="534"/>
      <c r="C50" s="534"/>
      <c r="D50" s="534"/>
      <c r="E50" s="534"/>
      <c r="F50" s="534"/>
      <c r="G50" s="534"/>
      <c r="H50" s="535" t="str">
        <f>IF(A50="","",LOOKUP(A50,BoonRef!$A$2:$A$430,BoonRef!$P$2:$P$430))</f>
        <v/>
      </c>
      <c r="I50" s="535"/>
      <c r="J50" s="529"/>
      <c r="K50" s="529"/>
      <c r="L50" s="529"/>
      <c r="M50" s="529"/>
      <c r="N50" s="529"/>
      <c r="O50" s="529"/>
      <c r="P50" s="529"/>
      <c r="Q50" s="529"/>
      <c r="R50" s="529"/>
      <c r="S50" s="529"/>
      <c r="T50" s="529"/>
      <c r="U50" s="529"/>
      <c r="V50" s="529"/>
      <c r="W50" s="529"/>
      <c r="X50" s="529"/>
      <c r="Y50" s="530"/>
      <c r="Z50" s="533"/>
      <c r="AA50" s="534"/>
      <c r="AB50" s="534"/>
      <c r="AC50" s="534"/>
      <c r="AD50" s="534"/>
      <c r="AE50" s="535" t="str">
        <f>IF(Z50="","",LOOKUP(Z50,KanckRef!$A$2:$A$170,KanckRef!$F$2:$F$170))</f>
        <v/>
      </c>
      <c r="AF50" s="535"/>
      <c r="AG50" s="529"/>
      <c r="AH50" s="529"/>
      <c r="AI50" s="529"/>
      <c r="AJ50" s="529"/>
      <c r="AK50" s="529"/>
      <c r="AL50" s="529"/>
      <c r="AM50" s="529"/>
      <c r="AN50" s="529"/>
      <c r="AO50" s="529"/>
      <c r="AP50" s="529"/>
      <c r="AQ50" s="529"/>
      <c r="AR50" s="529"/>
      <c r="AS50" s="529"/>
      <c r="AT50" s="529"/>
      <c r="AU50" s="529"/>
      <c r="AV50" s="529"/>
      <c r="AW50" s="529"/>
      <c r="AX50" s="530"/>
    </row>
    <row r="51" spans="1:50" ht="15" customHeight="1" x14ac:dyDescent="0.25">
      <c r="A51" s="533"/>
      <c r="B51" s="534"/>
      <c r="C51" s="534"/>
      <c r="D51" s="534"/>
      <c r="E51" s="534"/>
      <c r="F51" s="534"/>
      <c r="G51" s="534"/>
      <c r="H51" s="535" t="str">
        <f>IF(A50="","",LOOKUP(A50,BoonRef!$A$2:$A$430,BoonRef!$Q$2:$Q$430))</f>
        <v/>
      </c>
      <c r="I51" s="535"/>
      <c r="J51" s="529"/>
      <c r="K51" s="529"/>
      <c r="L51" s="529"/>
      <c r="M51" s="529"/>
      <c r="N51" s="529"/>
      <c r="O51" s="529"/>
      <c r="P51" s="529"/>
      <c r="Q51" s="529"/>
      <c r="R51" s="529"/>
      <c r="S51" s="529"/>
      <c r="T51" s="529"/>
      <c r="U51" s="529"/>
      <c r="V51" s="529"/>
      <c r="W51" s="529"/>
      <c r="X51" s="529"/>
      <c r="Y51" s="530"/>
      <c r="Z51" s="533"/>
      <c r="AA51" s="534"/>
      <c r="AB51" s="534"/>
      <c r="AC51" s="534"/>
      <c r="AD51" s="534"/>
      <c r="AE51" s="535"/>
      <c r="AF51" s="535"/>
      <c r="AG51" s="529"/>
      <c r="AH51" s="529"/>
      <c r="AI51" s="529"/>
      <c r="AJ51" s="529"/>
      <c r="AK51" s="529"/>
      <c r="AL51" s="529"/>
      <c r="AM51" s="529"/>
      <c r="AN51" s="529"/>
      <c r="AO51" s="529"/>
      <c r="AP51" s="529"/>
      <c r="AQ51" s="529"/>
      <c r="AR51" s="529"/>
      <c r="AS51" s="529"/>
      <c r="AT51" s="529"/>
      <c r="AU51" s="529"/>
      <c r="AV51" s="529"/>
      <c r="AW51" s="529"/>
      <c r="AX51" s="530"/>
    </row>
    <row r="52" spans="1:50" ht="15" customHeight="1" x14ac:dyDescent="0.25">
      <c r="A52" s="536" t="str">
        <f>IF(A50="","",LOOKUP(A50,BoonRef!$A$2:$A$430,BoonRef!$O$2:$O$430))</f>
        <v/>
      </c>
      <c r="B52" s="535"/>
      <c r="C52" s="535"/>
      <c r="D52" s="535"/>
      <c r="E52" s="535"/>
      <c r="F52" s="535"/>
      <c r="G52" s="535"/>
      <c r="H52" s="535"/>
      <c r="I52" s="535"/>
      <c r="J52" s="529"/>
      <c r="K52" s="529"/>
      <c r="L52" s="529"/>
      <c r="M52" s="529"/>
      <c r="N52" s="529"/>
      <c r="O52" s="529"/>
      <c r="P52" s="529"/>
      <c r="Q52" s="529"/>
      <c r="R52" s="529"/>
      <c r="S52" s="529"/>
      <c r="T52" s="529"/>
      <c r="U52" s="529"/>
      <c r="V52" s="529"/>
      <c r="W52" s="529"/>
      <c r="X52" s="529"/>
      <c r="Y52" s="530"/>
      <c r="Z52" s="536" t="str">
        <f>IF(Z50="","",LOOKUP(Z50,KanckRef!$A$2:$A$170,KanckRef!$D$2:$D$170))</f>
        <v/>
      </c>
      <c r="AA52" s="535"/>
      <c r="AB52" s="535"/>
      <c r="AC52" s="535"/>
      <c r="AD52" s="535"/>
      <c r="AE52" s="535"/>
      <c r="AF52" s="535"/>
      <c r="AG52" s="529"/>
      <c r="AH52" s="529"/>
      <c r="AI52" s="529"/>
      <c r="AJ52" s="529"/>
      <c r="AK52" s="529"/>
      <c r="AL52" s="529"/>
      <c r="AM52" s="529"/>
      <c r="AN52" s="529"/>
      <c r="AO52" s="529"/>
      <c r="AP52" s="529"/>
      <c r="AQ52" s="529"/>
      <c r="AR52" s="529"/>
      <c r="AS52" s="529"/>
      <c r="AT52" s="529"/>
      <c r="AU52" s="529"/>
      <c r="AV52" s="529"/>
      <c r="AW52" s="529"/>
      <c r="AX52" s="530"/>
    </row>
    <row r="53" spans="1:50" ht="15" customHeight="1" x14ac:dyDescent="0.25">
      <c r="A53" s="536" t="str">
        <f>IF(A50="","",LOOKUP(A50,BoonRef!$A$2:$A$430,BoonRef!$N$2:$N$430))</f>
        <v/>
      </c>
      <c r="B53" s="535"/>
      <c r="C53" s="535"/>
      <c r="D53" s="535"/>
      <c r="E53" s="535"/>
      <c r="F53" s="535"/>
      <c r="G53" s="535"/>
      <c r="H53" s="535"/>
      <c r="I53" s="535"/>
      <c r="J53" s="529"/>
      <c r="K53" s="529"/>
      <c r="L53" s="529"/>
      <c r="M53" s="529"/>
      <c r="N53" s="529"/>
      <c r="O53" s="529"/>
      <c r="P53" s="529"/>
      <c r="Q53" s="529"/>
      <c r="R53" s="529"/>
      <c r="S53" s="529"/>
      <c r="T53" s="529"/>
      <c r="U53" s="529"/>
      <c r="V53" s="529"/>
      <c r="W53" s="529"/>
      <c r="X53" s="529"/>
      <c r="Y53" s="530"/>
      <c r="Z53" s="536"/>
      <c r="AA53" s="535"/>
      <c r="AB53" s="535"/>
      <c r="AC53" s="535"/>
      <c r="AD53" s="535"/>
      <c r="AE53" s="535"/>
      <c r="AF53" s="535"/>
      <c r="AG53" s="529"/>
      <c r="AH53" s="529"/>
      <c r="AI53" s="529"/>
      <c r="AJ53" s="529"/>
      <c r="AK53" s="529"/>
      <c r="AL53" s="529"/>
      <c r="AM53" s="529"/>
      <c r="AN53" s="529"/>
      <c r="AO53" s="529"/>
      <c r="AP53" s="529"/>
      <c r="AQ53" s="529"/>
      <c r="AR53" s="529"/>
      <c r="AS53" s="529"/>
      <c r="AT53" s="529"/>
      <c r="AU53" s="529"/>
      <c r="AV53" s="529"/>
      <c r="AW53" s="529"/>
      <c r="AX53" s="530"/>
    </row>
    <row r="54" spans="1:50" ht="15" customHeight="1" thickBot="1" x14ac:dyDescent="0.3">
      <c r="A54" s="537"/>
      <c r="B54" s="538"/>
      <c r="C54" s="538"/>
      <c r="D54" s="538"/>
      <c r="E54" s="538"/>
      <c r="F54" s="538"/>
      <c r="G54" s="538"/>
      <c r="H54" s="538"/>
      <c r="I54" s="538"/>
      <c r="J54" s="531"/>
      <c r="K54" s="531"/>
      <c r="L54" s="531"/>
      <c r="M54" s="531"/>
      <c r="N54" s="531"/>
      <c r="O54" s="531"/>
      <c r="P54" s="531"/>
      <c r="Q54" s="531"/>
      <c r="R54" s="531"/>
      <c r="S54" s="531"/>
      <c r="T54" s="531"/>
      <c r="U54" s="531"/>
      <c r="V54" s="531"/>
      <c r="W54" s="531"/>
      <c r="X54" s="531"/>
      <c r="Y54" s="532"/>
      <c r="Z54" s="537"/>
      <c r="AA54" s="538"/>
      <c r="AB54" s="538"/>
      <c r="AC54" s="538"/>
      <c r="AD54" s="538"/>
      <c r="AE54" s="538"/>
      <c r="AF54" s="538"/>
      <c r="AG54" s="531"/>
      <c r="AH54" s="531"/>
      <c r="AI54" s="531"/>
      <c r="AJ54" s="531"/>
      <c r="AK54" s="531"/>
      <c r="AL54" s="531"/>
      <c r="AM54" s="531"/>
      <c r="AN54" s="531"/>
      <c r="AO54" s="531"/>
      <c r="AP54" s="531"/>
      <c r="AQ54" s="531"/>
      <c r="AR54" s="531"/>
      <c r="AS54" s="531"/>
      <c r="AT54" s="531"/>
      <c r="AU54" s="531"/>
      <c r="AV54" s="531"/>
      <c r="AW54" s="531"/>
      <c r="AX54" s="532"/>
    </row>
    <row r="55" spans="1:50" ht="15" customHeight="1" x14ac:dyDescent="0.25">
      <c r="A55" s="524"/>
      <c r="B55" s="525"/>
      <c r="C55" s="525"/>
      <c r="D55" s="525"/>
      <c r="E55" s="525"/>
      <c r="F55" s="525"/>
      <c r="G55" s="525"/>
      <c r="H55" s="526" t="str">
        <f>IF(A56="","",LOOKUP(A56,BoonRef!$A$2:$A$430,BoonRef!$C$2:$C$430))</f>
        <v/>
      </c>
      <c r="I55" s="526"/>
      <c r="J55" s="527"/>
      <c r="K55" s="527"/>
      <c r="L55" s="527"/>
      <c r="M55" s="527"/>
      <c r="N55" s="527"/>
      <c r="O55" s="527"/>
      <c r="P55" s="527"/>
      <c r="Q55" s="527"/>
      <c r="R55" s="527"/>
      <c r="S55" s="527"/>
      <c r="T55" s="527"/>
      <c r="U55" s="527"/>
      <c r="V55" s="527"/>
      <c r="W55" s="527"/>
      <c r="X55" s="527"/>
      <c r="Y55" s="528"/>
      <c r="Z55" s="524"/>
      <c r="AA55" s="525"/>
      <c r="AB55" s="525"/>
      <c r="AC55" s="525"/>
      <c r="AD55" s="525"/>
      <c r="AE55" s="526" t="str">
        <f>IF(Z56="","",LOOKUP(Z56,KanckRef!$A$2:$A$170,KanckRef!$E$2:$E$170))</f>
        <v/>
      </c>
      <c r="AF55" s="526"/>
      <c r="AG55" s="527"/>
      <c r="AH55" s="527"/>
      <c r="AI55" s="527"/>
      <c r="AJ55" s="527"/>
      <c r="AK55" s="527"/>
      <c r="AL55" s="527"/>
      <c r="AM55" s="527"/>
      <c r="AN55" s="527"/>
      <c r="AO55" s="527"/>
      <c r="AP55" s="527"/>
      <c r="AQ55" s="527"/>
      <c r="AR55" s="527"/>
      <c r="AS55" s="527"/>
      <c r="AT55" s="527"/>
      <c r="AU55" s="527"/>
      <c r="AV55" s="527"/>
      <c r="AW55" s="527"/>
      <c r="AX55" s="528"/>
    </row>
    <row r="56" spans="1:50" ht="15" customHeight="1" x14ac:dyDescent="0.25">
      <c r="A56" s="533"/>
      <c r="B56" s="534"/>
      <c r="C56" s="534"/>
      <c r="D56" s="534"/>
      <c r="E56" s="534"/>
      <c r="F56" s="534"/>
      <c r="G56" s="534"/>
      <c r="H56" s="535" t="str">
        <f>IF(A56="","",LOOKUP(A56,BoonRef!$A$2:$A$430,BoonRef!$P$2:$P$430))</f>
        <v/>
      </c>
      <c r="I56" s="535"/>
      <c r="J56" s="529"/>
      <c r="K56" s="529"/>
      <c r="L56" s="529"/>
      <c r="M56" s="529"/>
      <c r="N56" s="529"/>
      <c r="O56" s="529"/>
      <c r="P56" s="529"/>
      <c r="Q56" s="529"/>
      <c r="R56" s="529"/>
      <c r="S56" s="529"/>
      <c r="T56" s="529"/>
      <c r="U56" s="529"/>
      <c r="V56" s="529"/>
      <c r="W56" s="529"/>
      <c r="X56" s="529"/>
      <c r="Y56" s="530"/>
      <c r="Z56" s="533"/>
      <c r="AA56" s="534"/>
      <c r="AB56" s="534"/>
      <c r="AC56" s="534"/>
      <c r="AD56" s="534"/>
      <c r="AE56" s="535" t="str">
        <f>IF(Z56="","",LOOKUP(Z56,KanckRef!$A$2:$A$170,KanckRef!$F$2:$F$170))</f>
        <v/>
      </c>
      <c r="AF56" s="535"/>
      <c r="AG56" s="529"/>
      <c r="AH56" s="529"/>
      <c r="AI56" s="529"/>
      <c r="AJ56" s="529"/>
      <c r="AK56" s="529"/>
      <c r="AL56" s="529"/>
      <c r="AM56" s="529"/>
      <c r="AN56" s="529"/>
      <c r="AO56" s="529"/>
      <c r="AP56" s="529"/>
      <c r="AQ56" s="529"/>
      <c r="AR56" s="529"/>
      <c r="AS56" s="529"/>
      <c r="AT56" s="529"/>
      <c r="AU56" s="529"/>
      <c r="AV56" s="529"/>
      <c r="AW56" s="529"/>
      <c r="AX56" s="530"/>
    </row>
    <row r="57" spans="1:50" ht="15" customHeight="1" x14ac:dyDescent="0.25">
      <c r="A57" s="533"/>
      <c r="B57" s="534"/>
      <c r="C57" s="534"/>
      <c r="D57" s="534"/>
      <c r="E57" s="534"/>
      <c r="F57" s="534"/>
      <c r="G57" s="534"/>
      <c r="H57" s="535" t="str">
        <f>IF(A56="","",LOOKUP(A56,BoonRef!$A$2:$A$430,BoonRef!$Q$2:$Q$430))</f>
        <v/>
      </c>
      <c r="I57" s="535"/>
      <c r="J57" s="529"/>
      <c r="K57" s="529"/>
      <c r="L57" s="529"/>
      <c r="M57" s="529"/>
      <c r="N57" s="529"/>
      <c r="O57" s="529"/>
      <c r="P57" s="529"/>
      <c r="Q57" s="529"/>
      <c r="R57" s="529"/>
      <c r="S57" s="529"/>
      <c r="T57" s="529"/>
      <c r="U57" s="529"/>
      <c r="V57" s="529"/>
      <c r="W57" s="529"/>
      <c r="X57" s="529"/>
      <c r="Y57" s="530"/>
      <c r="Z57" s="533"/>
      <c r="AA57" s="534"/>
      <c r="AB57" s="534"/>
      <c r="AC57" s="534"/>
      <c r="AD57" s="534"/>
      <c r="AE57" s="535"/>
      <c r="AF57" s="535"/>
      <c r="AG57" s="529"/>
      <c r="AH57" s="529"/>
      <c r="AI57" s="529"/>
      <c r="AJ57" s="529"/>
      <c r="AK57" s="529"/>
      <c r="AL57" s="529"/>
      <c r="AM57" s="529"/>
      <c r="AN57" s="529"/>
      <c r="AO57" s="529"/>
      <c r="AP57" s="529"/>
      <c r="AQ57" s="529"/>
      <c r="AR57" s="529"/>
      <c r="AS57" s="529"/>
      <c r="AT57" s="529"/>
      <c r="AU57" s="529"/>
      <c r="AV57" s="529"/>
      <c r="AW57" s="529"/>
      <c r="AX57" s="530"/>
    </row>
    <row r="58" spans="1:50" ht="15" customHeight="1" x14ac:dyDescent="0.25">
      <c r="A58" s="536" t="str">
        <f>IF(A56="","",LOOKUP(A56,BoonRef!$A$2:$A$430,BoonRef!$O$2:$O$430))</f>
        <v/>
      </c>
      <c r="B58" s="535"/>
      <c r="C58" s="535"/>
      <c r="D58" s="535"/>
      <c r="E58" s="535"/>
      <c r="F58" s="535"/>
      <c r="G58" s="535"/>
      <c r="H58" s="535"/>
      <c r="I58" s="535"/>
      <c r="J58" s="529"/>
      <c r="K58" s="529"/>
      <c r="L58" s="529"/>
      <c r="M58" s="529"/>
      <c r="N58" s="529"/>
      <c r="O58" s="529"/>
      <c r="P58" s="529"/>
      <c r="Q58" s="529"/>
      <c r="R58" s="529"/>
      <c r="S58" s="529"/>
      <c r="T58" s="529"/>
      <c r="U58" s="529"/>
      <c r="V58" s="529"/>
      <c r="W58" s="529"/>
      <c r="X58" s="529"/>
      <c r="Y58" s="530"/>
      <c r="Z58" s="536" t="str">
        <f>IF(Z56="","",LOOKUP(Z56,KanckRef!$A$2:$A$170,KanckRef!$D$2:$D$170))</f>
        <v/>
      </c>
      <c r="AA58" s="535"/>
      <c r="AB58" s="535"/>
      <c r="AC58" s="535"/>
      <c r="AD58" s="535"/>
      <c r="AE58" s="535"/>
      <c r="AF58" s="535"/>
      <c r="AG58" s="529"/>
      <c r="AH58" s="529"/>
      <c r="AI58" s="529"/>
      <c r="AJ58" s="529"/>
      <c r="AK58" s="529"/>
      <c r="AL58" s="529"/>
      <c r="AM58" s="529"/>
      <c r="AN58" s="529"/>
      <c r="AO58" s="529"/>
      <c r="AP58" s="529"/>
      <c r="AQ58" s="529"/>
      <c r="AR58" s="529"/>
      <c r="AS58" s="529"/>
      <c r="AT58" s="529"/>
      <c r="AU58" s="529"/>
      <c r="AV58" s="529"/>
      <c r="AW58" s="529"/>
      <c r="AX58" s="530"/>
    </row>
    <row r="59" spans="1:50" ht="15" customHeight="1" x14ac:dyDescent="0.25">
      <c r="A59" s="536" t="str">
        <f>IF(A56="","",LOOKUP(A56,BoonRef!$A$2:$A$430,BoonRef!$N$2:$N$430))</f>
        <v/>
      </c>
      <c r="B59" s="535"/>
      <c r="C59" s="535"/>
      <c r="D59" s="535"/>
      <c r="E59" s="535"/>
      <c r="F59" s="535"/>
      <c r="G59" s="535"/>
      <c r="H59" s="535"/>
      <c r="I59" s="535"/>
      <c r="J59" s="529"/>
      <c r="K59" s="529"/>
      <c r="L59" s="529"/>
      <c r="M59" s="529"/>
      <c r="N59" s="529"/>
      <c r="O59" s="529"/>
      <c r="P59" s="529"/>
      <c r="Q59" s="529"/>
      <c r="R59" s="529"/>
      <c r="S59" s="529"/>
      <c r="T59" s="529"/>
      <c r="U59" s="529"/>
      <c r="V59" s="529"/>
      <c r="W59" s="529"/>
      <c r="X59" s="529"/>
      <c r="Y59" s="530"/>
      <c r="Z59" s="536"/>
      <c r="AA59" s="535"/>
      <c r="AB59" s="535"/>
      <c r="AC59" s="535"/>
      <c r="AD59" s="535"/>
      <c r="AE59" s="535"/>
      <c r="AF59" s="535"/>
      <c r="AG59" s="529"/>
      <c r="AH59" s="529"/>
      <c r="AI59" s="529"/>
      <c r="AJ59" s="529"/>
      <c r="AK59" s="529"/>
      <c r="AL59" s="529"/>
      <c r="AM59" s="529"/>
      <c r="AN59" s="529"/>
      <c r="AO59" s="529"/>
      <c r="AP59" s="529"/>
      <c r="AQ59" s="529"/>
      <c r="AR59" s="529"/>
      <c r="AS59" s="529"/>
      <c r="AT59" s="529"/>
      <c r="AU59" s="529"/>
      <c r="AV59" s="529"/>
      <c r="AW59" s="529"/>
      <c r="AX59" s="530"/>
    </row>
    <row r="60" spans="1:50" ht="15" customHeight="1" thickBot="1" x14ac:dyDescent="0.3">
      <c r="A60" s="537"/>
      <c r="B60" s="538"/>
      <c r="C60" s="538"/>
      <c r="D60" s="538"/>
      <c r="E60" s="538"/>
      <c r="F60" s="538"/>
      <c r="G60" s="538"/>
      <c r="H60" s="538"/>
      <c r="I60" s="538"/>
      <c r="J60" s="531"/>
      <c r="K60" s="531"/>
      <c r="L60" s="531"/>
      <c r="M60" s="531"/>
      <c r="N60" s="531"/>
      <c r="O60" s="531"/>
      <c r="P60" s="531"/>
      <c r="Q60" s="531"/>
      <c r="R60" s="531"/>
      <c r="S60" s="531"/>
      <c r="T60" s="531"/>
      <c r="U60" s="531"/>
      <c r="V60" s="531"/>
      <c r="W60" s="531"/>
      <c r="X60" s="531"/>
      <c r="Y60" s="532"/>
      <c r="Z60" s="537"/>
      <c r="AA60" s="538"/>
      <c r="AB60" s="538"/>
      <c r="AC60" s="538"/>
      <c r="AD60" s="538"/>
      <c r="AE60" s="538"/>
      <c r="AF60" s="538"/>
      <c r="AG60" s="531"/>
      <c r="AH60" s="531"/>
      <c r="AI60" s="531"/>
      <c r="AJ60" s="531"/>
      <c r="AK60" s="531"/>
      <c r="AL60" s="531"/>
      <c r="AM60" s="531"/>
      <c r="AN60" s="531"/>
      <c r="AO60" s="531"/>
      <c r="AP60" s="531"/>
      <c r="AQ60" s="531"/>
      <c r="AR60" s="531"/>
      <c r="AS60" s="531"/>
      <c r="AT60" s="531"/>
      <c r="AU60" s="531"/>
      <c r="AV60" s="531"/>
      <c r="AW60" s="531"/>
      <c r="AX60" s="532"/>
    </row>
    <row r="61" spans="1:50" ht="15" customHeight="1" x14ac:dyDescent="0.25">
      <c r="A61" s="524"/>
      <c r="B61" s="525"/>
      <c r="C61" s="525"/>
      <c r="D61" s="525"/>
      <c r="E61" s="525"/>
      <c r="F61" s="525"/>
      <c r="G61" s="525"/>
      <c r="H61" s="526" t="str">
        <f>IF(A62="","",LOOKUP(A62,BoonRef!$A$2:$A$430,BoonRef!$C$2:$C$430))</f>
        <v/>
      </c>
      <c r="I61" s="526"/>
      <c r="J61" s="527"/>
      <c r="K61" s="527"/>
      <c r="L61" s="527"/>
      <c r="M61" s="527"/>
      <c r="N61" s="527"/>
      <c r="O61" s="527"/>
      <c r="P61" s="527"/>
      <c r="Q61" s="527"/>
      <c r="R61" s="527"/>
      <c r="S61" s="527"/>
      <c r="T61" s="527"/>
      <c r="U61" s="527"/>
      <c r="V61" s="527"/>
      <c r="W61" s="527"/>
      <c r="X61" s="527"/>
      <c r="Y61" s="528"/>
      <c r="Z61" s="524"/>
      <c r="AA61" s="525"/>
      <c r="AB61" s="525"/>
      <c r="AC61" s="525"/>
      <c r="AD61" s="525"/>
      <c r="AE61" s="526" t="str">
        <f>IF(Z62="","",LOOKUP(Z62,KanckRef!$A$2:$A$170,KanckRef!$E$2:$E$170))</f>
        <v/>
      </c>
      <c r="AF61" s="526"/>
      <c r="AG61" s="527"/>
      <c r="AH61" s="527"/>
      <c r="AI61" s="527"/>
      <c r="AJ61" s="527"/>
      <c r="AK61" s="527"/>
      <c r="AL61" s="527"/>
      <c r="AM61" s="527"/>
      <c r="AN61" s="527"/>
      <c r="AO61" s="527"/>
      <c r="AP61" s="527"/>
      <c r="AQ61" s="527"/>
      <c r="AR61" s="527"/>
      <c r="AS61" s="527"/>
      <c r="AT61" s="527"/>
      <c r="AU61" s="527"/>
      <c r="AV61" s="527"/>
      <c r="AW61" s="527"/>
      <c r="AX61" s="528"/>
    </row>
    <row r="62" spans="1:50" ht="15" customHeight="1" x14ac:dyDescent="0.25">
      <c r="A62" s="533"/>
      <c r="B62" s="534"/>
      <c r="C62" s="534"/>
      <c r="D62" s="534"/>
      <c r="E62" s="534"/>
      <c r="F62" s="534"/>
      <c r="G62" s="534"/>
      <c r="H62" s="535" t="str">
        <f>IF(A62="","",LOOKUP(A62,BoonRef!$A$2:$A$430,BoonRef!$P$2:$P$430))</f>
        <v/>
      </c>
      <c r="I62" s="535"/>
      <c r="J62" s="529"/>
      <c r="K62" s="529"/>
      <c r="L62" s="529"/>
      <c r="M62" s="529"/>
      <c r="N62" s="529"/>
      <c r="O62" s="529"/>
      <c r="P62" s="529"/>
      <c r="Q62" s="529"/>
      <c r="R62" s="529"/>
      <c r="S62" s="529"/>
      <c r="T62" s="529"/>
      <c r="U62" s="529"/>
      <c r="V62" s="529"/>
      <c r="W62" s="529"/>
      <c r="X62" s="529"/>
      <c r="Y62" s="530"/>
      <c r="Z62" s="533"/>
      <c r="AA62" s="534"/>
      <c r="AB62" s="534"/>
      <c r="AC62" s="534"/>
      <c r="AD62" s="534"/>
      <c r="AE62" s="535" t="str">
        <f>IF(Z62="","",LOOKUP(Z62,KanckRef!$A$2:$A$170,KanckRef!$F$2:$F$170))</f>
        <v/>
      </c>
      <c r="AF62" s="535"/>
      <c r="AG62" s="529"/>
      <c r="AH62" s="529"/>
      <c r="AI62" s="529"/>
      <c r="AJ62" s="529"/>
      <c r="AK62" s="529"/>
      <c r="AL62" s="529"/>
      <c r="AM62" s="529"/>
      <c r="AN62" s="529"/>
      <c r="AO62" s="529"/>
      <c r="AP62" s="529"/>
      <c r="AQ62" s="529"/>
      <c r="AR62" s="529"/>
      <c r="AS62" s="529"/>
      <c r="AT62" s="529"/>
      <c r="AU62" s="529"/>
      <c r="AV62" s="529"/>
      <c r="AW62" s="529"/>
      <c r="AX62" s="530"/>
    </row>
    <row r="63" spans="1:50" ht="15" customHeight="1" x14ac:dyDescent="0.25">
      <c r="A63" s="533"/>
      <c r="B63" s="534"/>
      <c r="C63" s="534"/>
      <c r="D63" s="534"/>
      <c r="E63" s="534"/>
      <c r="F63" s="534"/>
      <c r="G63" s="534"/>
      <c r="H63" s="535" t="str">
        <f>IF(A62="","",LOOKUP(A62,BoonRef!$A$2:$A$430,BoonRef!$Q$2:$Q$430))</f>
        <v/>
      </c>
      <c r="I63" s="535"/>
      <c r="J63" s="529"/>
      <c r="K63" s="529"/>
      <c r="L63" s="529"/>
      <c r="M63" s="529"/>
      <c r="N63" s="529"/>
      <c r="O63" s="529"/>
      <c r="P63" s="529"/>
      <c r="Q63" s="529"/>
      <c r="R63" s="529"/>
      <c r="S63" s="529"/>
      <c r="T63" s="529"/>
      <c r="U63" s="529"/>
      <c r="V63" s="529"/>
      <c r="W63" s="529"/>
      <c r="X63" s="529"/>
      <c r="Y63" s="530"/>
      <c r="Z63" s="533"/>
      <c r="AA63" s="534"/>
      <c r="AB63" s="534"/>
      <c r="AC63" s="534"/>
      <c r="AD63" s="534"/>
      <c r="AE63" s="535"/>
      <c r="AF63" s="535"/>
      <c r="AG63" s="529"/>
      <c r="AH63" s="529"/>
      <c r="AI63" s="529"/>
      <c r="AJ63" s="529"/>
      <c r="AK63" s="529"/>
      <c r="AL63" s="529"/>
      <c r="AM63" s="529"/>
      <c r="AN63" s="529"/>
      <c r="AO63" s="529"/>
      <c r="AP63" s="529"/>
      <c r="AQ63" s="529"/>
      <c r="AR63" s="529"/>
      <c r="AS63" s="529"/>
      <c r="AT63" s="529"/>
      <c r="AU63" s="529"/>
      <c r="AV63" s="529"/>
      <c r="AW63" s="529"/>
      <c r="AX63" s="530"/>
    </row>
    <row r="64" spans="1:50" ht="15" customHeight="1" x14ac:dyDescent="0.25">
      <c r="A64" s="536" t="str">
        <f>IF(A62="","",LOOKUP(A62,BoonRef!$A$2:$A$430,BoonRef!$O$2:$O$430))</f>
        <v/>
      </c>
      <c r="B64" s="535"/>
      <c r="C64" s="535"/>
      <c r="D64" s="535"/>
      <c r="E64" s="535"/>
      <c r="F64" s="535"/>
      <c r="G64" s="535"/>
      <c r="H64" s="535"/>
      <c r="I64" s="535"/>
      <c r="J64" s="529"/>
      <c r="K64" s="529"/>
      <c r="L64" s="529"/>
      <c r="M64" s="529"/>
      <c r="N64" s="529"/>
      <c r="O64" s="529"/>
      <c r="P64" s="529"/>
      <c r="Q64" s="529"/>
      <c r="R64" s="529"/>
      <c r="S64" s="529"/>
      <c r="T64" s="529"/>
      <c r="U64" s="529"/>
      <c r="V64" s="529"/>
      <c r="W64" s="529"/>
      <c r="X64" s="529"/>
      <c r="Y64" s="530"/>
      <c r="Z64" s="536" t="str">
        <f>IF(Z62="","",LOOKUP(Z62,KanckRef!$A$2:$A$170,KanckRef!$D$2:$D$170))</f>
        <v/>
      </c>
      <c r="AA64" s="535"/>
      <c r="AB64" s="535"/>
      <c r="AC64" s="535"/>
      <c r="AD64" s="535"/>
      <c r="AE64" s="535"/>
      <c r="AF64" s="535"/>
      <c r="AG64" s="529"/>
      <c r="AH64" s="529"/>
      <c r="AI64" s="529"/>
      <c r="AJ64" s="529"/>
      <c r="AK64" s="529"/>
      <c r="AL64" s="529"/>
      <c r="AM64" s="529"/>
      <c r="AN64" s="529"/>
      <c r="AO64" s="529"/>
      <c r="AP64" s="529"/>
      <c r="AQ64" s="529"/>
      <c r="AR64" s="529"/>
      <c r="AS64" s="529"/>
      <c r="AT64" s="529"/>
      <c r="AU64" s="529"/>
      <c r="AV64" s="529"/>
      <c r="AW64" s="529"/>
      <c r="AX64" s="530"/>
    </row>
    <row r="65" spans="1:50" ht="15" customHeight="1" x14ac:dyDescent="0.25">
      <c r="A65" s="536" t="str">
        <f>IF(A62="","",LOOKUP(A62,BoonRef!$A$2:$A$430,BoonRef!$N$2:$N$430))</f>
        <v/>
      </c>
      <c r="B65" s="535"/>
      <c r="C65" s="535"/>
      <c r="D65" s="535"/>
      <c r="E65" s="535"/>
      <c r="F65" s="535"/>
      <c r="G65" s="535"/>
      <c r="H65" s="535"/>
      <c r="I65" s="535"/>
      <c r="J65" s="529"/>
      <c r="K65" s="529"/>
      <c r="L65" s="529"/>
      <c r="M65" s="529"/>
      <c r="N65" s="529"/>
      <c r="O65" s="529"/>
      <c r="P65" s="529"/>
      <c r="Q65" s="529"/>
      <c r="R65" s="529"/>
      <c r="S65" s="529"/>
      <c r="T65" s="529"/>
      <c r="U65" s="529"/>
      <c r="V65" s="529"/>
      <c r="W65" s="529"/>
      <c r="X65" s="529"/>
      <c r="Y65" s="530"/>
      <c r="Z65" s="536"/>
      <c r="AA65" s="535"/>
      <c r="AB65" s="535"/>
      <c r="AC65" s="535"/>
      <c r="AD65" s="535"/>
      <c r="AE65" s="535"/>
      <c r="AF65" s="535"/>
      <c r="AG65" s="529"/>
      <c r="AH65" s="529"/>
      <c r="AI65" s="529"/>
      <c r="AJ65" s="529"/>
      <c r="AK65" s="529"/>
      <c r="AL65" s="529"/>
      <c r="AM65" s="529"/>
      <c r="AN65" s="529"/>
      <c r="AO65" s="529"/>
      <c r="AP65" s="529"/>
      <c r="AQ65" s="529"/>
      <c r="AR65" s="529"/>
      <c r="AS65" s="529"/>
      <c r="AT65" s="529"/>
      <c r="AU65" s="529"/>
      <c r="AV65" s="529"/>
      <c r="AW65" s="529"/>
      <c r="AX65" s="530"/>
    </row>
    <row r="66" spans="1:50" ht="15" customHeight="1" thickBot="1" x14ac:dyDescent="0.3">
      <c r="A66" s="537"/>
      <c r="B66" s="538"/>
      <c r="C66" s="538"/>
      <c r="D66" s="538"/>
      <c r="E66" s="538"/>
      <c r="F66" s="538"/>
      <c r="G66" s="538"/>
      <c r="H66" s="538"/>
      <c r="I66" s="538"/>
      <c r="J66" s="531"/>
      <c r="K66" s="531"/>
      <c r="L66" s="531"/>
      <c r="M66" s="531"/>
      <c r="N66" s="531"/>
      <c r="O66" s="531"/>
      <c r="P66" s="531"/>
      <c r="Q66" s="531"/>
      <c r="R66" s="531"/>
      <c r="S66" s="531"/>
      <c r="T66" s="531"/>
      <c r="U66" s="531"/>
      <c r="V66" s="531"/>
      <c r="W66" s="531"/>
      <c r="X66" s="531"/>
      <c r="Y66" s="532"/>
      <c r="Z66" s="537"/>
      <c r="AA66" s="538"/>
      <c r="AB66" s="538"/>
      <c r="AC66" s="538"/>
      <c r="AD66" s="538"/>
      <c r="AE66" s="538"/>
      <c r="AF66" s="538"/>
      <c r="AG66" s="531"/>
      <c r="AH66" s="531"/>
      <c r="AI66" s="531"/>
      <c r="AJ66" s="531"/>
      <c r="AK66" s="531"/>
      <c r="AL66" s="531"/>
      <c r="AM66" s="531"/>
      <c r="AN66" s="531"/>
      <c r="AO66" s="531"/>
      <c r="AP66" s="531"/>
      <c r="AQ66" s="531"/>
      <c r="AR66" s="531"/>
      <c r="AS66" s="531"/>
      <c r="AT66" s="531"/>
      <c r="AU66" s="531"/>
      <c r="AV66" s="531"/>
      <c r="AW66" s="531"/>
      <c r="AX66" s="532"/>
    </row>
    <row r="67" spans="1:50" ht="15" customHeight="1" x14ac:dyDescent="0.25">
      <c r="A67" s="524"/>
      <c r="B67" s="525"/>
      <c r="C67" s="525"/>
      <c r="D67" s="525"/>
      <c r="E67" s="525"/>
      <c r="F67" s="525"/>
      <c r="G67" s="525"/>
      <c r="H67" s="526" t="str">
        <f>IF(A68="","",LOOKUP(A68,BoonRef!$A$2:$A$430,BoonRef!$C$2:$C$430))</f>
        <v/>
      </c>
      <c r="I67" s="526"/>
      <c r="J67" s="527"/>
      <c r="K67" s="527"/>
      <c r="L67" s="527"/>
      <c r="M67" s="527"/>
      <c r="N67" s="527"/>
      <c r="O67" s="527"/>
      <c r="P67" s="527"/>
      <c r="Q67" s="527"/>
      <c r="R67" s="527"/>
      <c r="S67" s="527"/>
      <c r="T67" s="527"/>
      <c r="U67" s="527"/>
      <c r="V67" s="527"/>
      <c r="W67" s="527"/>
      <c r="X67" s="527"/>
      <c r="Y67" s="528"/>
      <c r="Z67" s="524"/>
      <c r="AA67" s="525"/>
      <c r="AB67" s="525"/>
      <c r="AC67" s="525"/>
      <c r="AD67" s="525"/>
      <c r="AE67" s="526" t="str">
        <f>IF(Z68="","",LOOKUP(Z68,KanckRef!$A$2:$A$170,KanckRef!$E$2:$E$170))</f>
        <v/>
      </c>
      <c r="AF67" s="526"/>
      <c r="AG67" s="527"/>
      <c r="AH67" s="527"/>
      <c r="AI67" s="527"/>
      <c r="AJ67" s="527"/>
      <c r="AK67" s="527"/>
      <c r="AL67" s="527"/>
      <c r="AM67" s="527"/>
      <c r="AN67" s="527"/>
      <c r="AO67" s="527"/>
      <c r="AP67" s="527"/>
      <c r="AQ67" s="527"/>
      <c r="AR67" s="527"/>
      <c r="AS67" s="527"/>
      <c r="AT67" s="527"/>
      <c r="AU67" s="527"/>
      <c r="AV67" s="527"/>
      <c r="AW67" s="527"/>
      <c r="AX67" s="528"/>
    </row>
    <row r="68" spans="1:50" ht="15" customHeight="1" x14ac:dyDescent="0.25">
      <c r="A68" s="533"/>
      <c r="B68" s="534"/>
      <c r="C68" s="534"/>
      <c r="D68" s="534"/>
      <c r="E68" s="534"/>
      <c r="F68" s="534"/>
      <c r="G68" s="534"/>
      <c r="H68" s="535" t="str">
        <f>IF(A68="","",LOOKUP(A68,BoonRef!$A$2:$A$430,BoonRef!$P$2:$P$430))</f>
        <v/>
      </c>
      <c r="I68" s="535"/>
      <c r="J68" s="529"/>
      <c r="K68" s="529"/>
      <c r="L68" s="529"/>
      <c r="M68" s="529"/>
      <c r="N68" s="529"/>
      <c r="O68" s="529"/>
      <c r="P68" s="529"/>
      <c r="Q68" s="529"/>
      <c r="R68" s="529"/>
      <c r="S68" s="529"/>
      <c r="T68" s="529"/>
      <c r="U68" s="529"/>
      <c r="V68" s="529"/>
      <c r="W68" s="529"/>
      <c r="X68" s="529"/>
      <c r="Y68" s="530"/>
      <c r="Z68" s="533"/>
      <c r="AA68" s="534"/>
      <c r="AB68" s="534"/>
      <c r="AC68" s="534"/>
      <c r="AD68" s="534"/>
      <c r="AE68" s="535" t="str">
        <f>IF(Z68="","",LOOKUP(Z68,KanckRef!$A$2:$A$170,KanckRef!$F$2:$F$170))</f>
        <v/>
      </c>
      <c r="AF68" s="535"/>
      <c r="AG68" s="529"/>
      <c r="AH68" s="529"/>
      <c r="AI68" s="529"/>
      <c r="AJ68" s="529"/>
      <c r="AK68" s="529"/>
      <c r="AL68" s="529"/>
      <c r="AM68" s="529"/>
      <c r="AN68" s="529"/>
      <c r="AO68" s="529"/>
      <c r="AP68" s="529"/>
      <c r="AQ68" s="529"/>
      <c r="AR68" s="529"/>
      <c r="AS68" s="529"/>
      <c r="AT68" s="529"/>
      <c r="AU68" s="529"/>
      <c r="AV68" s="529"/>
      <c r="AW68" s="529"/>
      <c r="AX68" s="530"/>
    </row>
    <row r="69" spans="1:50" ht="15" customHeight="1" x14ac:dyDescent="0.25">
      <c r="A69" s="533"/>
      <c r="B69" s="534"/>
      <c r="C69" s="534"/>
      <c r="D69" s="534"/>
      <c r="E69" s="534"/>
      <c r="F69" s="534"/>
      <c r="G69" s="534"/>
      <c r="H69" s="535" t="str">
        <f>IF(A68="","",LOOKUP(A68,BoonRef!$A$2:$A$430,BoonRef!$Q$2:$Q$430))</f>
        <v/>
      </c>
      <c r="I69" s="535"/>
      <c r="J69" s="529"/>
      <c r="K69" s="529"/>
      <c r="L69" s="529"/>
      <c r="M69" s="529"/>
      <c r="N69" s="529"/>
      <c r="O69" s="529"/>
      <c r="P69" s="529"/>
      <c r="Q69" s="529"/>
      <c r="R69" s="529"/>
      <c r="S69" s="529"/>
      <c r="T69" s="529"/>
      <c r="U69" s="529"/>
      <c r="V69" s="529"/>
      <c r="W69" s="529"/>
      <c r="X69" s="529"/>
      <c r="Y69" s="530"/>
      <c r="Z69" s="533"/>
      <c r="AA69" s="534"/>
      <c r="AB69" s="534"/>
      <c r="AC69" s="534"/>
      <c r="AD69" s="534"/>
      <c r="AE69" s="535"/>
      <c r="AF69" s="535"/>
      <c r="AG69" s="529"/>
      <c r="AH69" s="529"/>
      <c r="AI69" s="529"/>
      <c r="AJ69" s="529"/>
      <c r="AK69" s="529"/>
      <c r="AL69" s="529"/>
      <c r="AM69" s="529"/>
      <c r="AN69" s="529"/>
      <c r="AO69" s="529"/>
      <c r="AP69" s="529"/>
      <c r="AQ69" s="529"/>
      <c r="AR69" s="529"/>
      <c r="AS69" s="529"/>
      <c r="AT69" s="529"/>
      <c r="AU69" s="529"/>
      <c r="AV69" s="529"/>
      <c r="AW69" s="529"/>
      <c r="AX69" s="530"/>
    </row>
    <row r="70" spans="1:50" ht="15" customHeight="1" x14ac:dyDescent="0.25">
      <c r="A70" s="536" t="str">
        <f>IF(A68="","",LOOKUP(A68,BoonRef!$A$2:$A$430,BoonRef!$O$2:$O$430))</f>
        <v/>
      </c>
      <c r="B70" s="535"/>
      <c r="C70" s="535"/>
      <c r="D70" s="535"/>
      <c r="E70" s="535"/>
      <c r="F70" s="535"/>
      <c r="G70" s="535"/>
      <c r="H70" s="535"/>
      <c r="I70" s="535"/>
      <c r="J70" s="529"/>
      <c r="K70" s="529"/>
      <c r="L70" s="529"/>
      <c r="M70" s="529"/>
      <c r="N70" s="529"/>
      <c r="O70" s="529"/>
      <c r="P70" s="529"/>
      <c r="Q70" s="529"/>
      <c r="R70" s="529"/>
      <c r="S70" s="529"/>
      <c r="T70" s="529"/>
      <c r="U70" s="529"/>
      <c r="V70" s="529"/>
      <c r="W70" s="529"/>
      <c r="X70" s="529"/>
      <c r="Y70" s="530"/>
      <c r="Z70" s="536" t="str">
        <f>IF(Z68="","",LOOKUP(Z68,KanckRef!$A$2:$A$170,KanckRef!$D$2:$D$170))</f>
        <v/>
      </c>
      <c r="AA70" s="535"/>
      <c r="AB70" s="535"/>
      <c r="AC70" s="535"/>
      <c r="AD70" s="535"/>
      <c r="AE70" s="535"/>
      <c r="AF70" s="535"/>
      <c r="AG70" s="529"/>
      <c r="AH70" s="529"/>
      <c r="AI70" s="529"/>
      <c r="AJ70" s="529"/>
      <c r="AK70" s="529"/>
      <c r="AL70" s="529"/>
      <c r="AM70" s="529"/>
      <c r="AN70" s="529"/>
      <c r="AO70" s="529"/>
      <c r="AP70" s="529"/>
      <c r="AQ70" s="529"/>
      <c r="AR70" s="529"/>
      <c r="AS70" s="529"/>
      <c r="AT70" s="529"/>
      <c r="AU70" s="529"/>
      <c r="AV70" s="529"/>
      <c r="AW70" s="529"/>
      <c r="AX70" s="530"/>
    </row>
    <row r="71" spans="1:50" ht="15" customHeight="1" x14ac:dyDescent="0.25">
      <c r="A71" s="536" t="str">
        <f>IF(A68="","",LOOKUP(A68,BoonRef!$A$2:$A$430,BoonRef!$N$2:$N$430))</f>
        <v/>
      </c>
      <c r="B71" s="535"/>
      <c r="C71" s="535"/>
      <c r="D71" s="535"/>
      <c r="E71" s="535"/>
      <c r="F71" s="535"/>
      <c r="G71" s="535"/>
      <c r="H71" s="535"/>
      <c r="I71" s="535"/>
      <c r="J71" s="529"/>
      <c r="K71" s="529"/>
      <c r="L71" s="529"/>
      <c r="M71" s="529"/>
      <c r="N71" s="529"/>
      <c r="O71" s="529"/>
      <c r="P71" s="529"/>
      <c r="Q71" s="529"/>
      <c r="R71" s="529"/>
      <c r="S71" s="529"/>
      <c r="T71" s="529"/>
      <c r="U71" s="529"/>
      <c r="V71" s="529"/>
      <c r="W71" s="529"/>
      <c r="X71" s="529"/>
      <c r="Y71" s="530"/>
      <c r="Z71" s="536"/>
      <c r="AA71" s="535"/>
      <c r="AB71" s="535"/>
      <c r="AC71" s="535"/>
      <c r="AD71" s="535"/>
      <c r="AE71" s="535"/>
      <c r="AF71" s="535"/>
      <c r="AG71" s="529"/>
      <c r="AH71" s="529"/>
      <c r="AI71" s="529"/>
      <c r="AJ71" s="529"/>
      <c r="AK71" s="529"/>
      <c r="AL71" s="529"/>
      <c r="AM71" s="529"/>
      <c r="AN71" s="529"/>
      <c r="AO71" s="529"/>
      <c r="AP71" s="529"/>
      <c r="AQ71" s="529"/>
      <c r="AR71" s="529"/>
      <c r="AS71" s="529"/>
      <c r="AT71" s="529"/>
      <c r="AU71" s="529"/>
      <c r="AV71" s="529"/>
      <c r="AW71" s="529"/>
      <c r="AX71" s="530"/>
    </row>
    <row r="72" spans="1:50" ht="15" customHeight="1" thickBot="1" x14ac:dyDescent="0.3">
      <c r="A72" s="537"/>
      <c r="B72" s="538"/>
      <c r="C72" s="538"/>
      <c r="D72" s="538"/>
      <c r="E72" s="538"/>
      <c r="F72" s="538"/>
      <c r="G72" s="538"/>
      <c r="H72" s="538"/>
      <c r="I72" s="538"/>
      <c r="J72" s="531"/>
      <c r="K72" s="531"/>
      <c r="L72" s="531"/>
      <c r="M72" s="531"/>
      <c r="N72" s="531"/>
      <c r="O72" s="531"/>
      <c r="P72" s="531"/>
      <c r="Q72" s="531"/>
      <c r="R72" s="531"/>
      <c r="S72" s="531"/>
      <c r="T72" s="531"/>
      <c r="U72" s="531"/>
      <c r="V72" s="531"/>
      <c r="W72" s="531"/>
      <c r="X72" s="531"/>
      <c r="Y72" s="532"/>
      <c r="Z72" s="537"/>
      <c r="AA72" s="538"/>
      <c r="AB72" s="538"/>
      <c r="AC72" s="538"/>
      <c r="AD72" s="538"/>
      <c r="AE72" s="538"/>
      <c r="AF72" s="538"/>
      <c r="AG72" s="531"/>
      <c r="AH72" s="531"/>
      <c r="AI72" s="531"/>
      <c r="AJ72" s="531"/>
      <c r="AK72" s="531"/>
      <c r="AL72" s="531"/>
      <c r="AM72" s="531"/>
      <c r="AN72" s="531"/>
      <c r="AO72" s="531"/>
      <c r="AP72" s="531"/>
      <c r="AQ72" s="531"/>
      <c r="AR72" s="531"/>
      <c r="AS72" s="531"/>
      <c r="AT72" s="531"/>
      <c r="AU72" s="531"/>
      <c r="AV72" s="531"/>
      <c r="AW72" s="531"/>
      <c r="AX72" s="532"/>
    </row>
    <row r="73" spans="1:50" ht="15" customHeight="1" x14ac:dyDescent="0.25">
      <c r="A73" s="524"/>
      <c r="B73" s="525"/>
      <c r="C73" s="525"/>
      <c r="D73" s="525"/>
      <c r="E73" s="525"/>
      <c r="F73" s="525"/>
      <c r="G73" s="525"/>
      <c r="H73" s="526" t="str">
        <f>IF(A74="","",LOOKUP(A74,BoonRef!$A$2:$A$430,BoonRef!$C$2:$C$430))</f>
        <v/>
      </c>
      <c r="I73" s="526"/>
      <c r="J73" s="527"/>
      <c r="K73" s="527"/>
      <c r="L73" s="527"/>
      <c r="M73" s="527"/>
      <c r="N73" s="527"/>
      <c r="O73" s="527"/>
      <c r="P73" s="527"/>
      <c r="Q73" s="527"/>
      <c r="R73" s="527"/>
      <c r="S73" s="527"/>
      <c r="T73" s="527"/>
      <c r="U73" s="527"/>
      <c r="V73" s="527"/>
      <c r="W73" s="527"/>
      <c r="X73" s="527"/>
      <c r="Y73" s="528"/>
      <c r="Z73" s="524"/>
      <c r="AA73" s="525"/>
      <c r="AB73" s="525"/>
      <c r="AC73" s="525"/>
      <c r="AD73" s="525"/>
      <c r="AE73" s="526" t="str">
        <f>IF(Z74="","",LOOKUP(Z74,KanckRef!$A$2:$A$170,KanckRef!$E$2:$E$170))</f>
        <v/>
      </c>
      <c r="AF73" s="526"/>
      <c r="AG73" s="527"/>
      <c r="AH73" s="527"/>
      <c r="AI73" s="527"/>
      <c r="AJ73" s="527"/>
      <c r="AK73" s="527"/>
      <c r="AL73" s="527"/>
      <c r="AM73" s="527"/>
      <c r="AN73" s="527"/>
      <c r="AO73" s="527"/>
      <c r="AP73" s="527"/>
      <c r="AQ73" s="527"/>
      <c r="AR73" s="527"/>
      <c r="AS73" s="527"/>
      <c r="AT73" s="527"/>
      <c r="AU73" s="527"/>
      <c r="AV73" s="527"/>
      <c r="AW73" s="527"/>
      <c r="AX73" s="528"/>
    </row>
    <row r="74" spans="1:50" ht="15" customHeight="1" x14ac:dyDescent="0.25">
      <c r="A74" s="533"/>
      <c r="B74" s="534"/>
      <c r="C74" s="534"/>
      <c r="D74" s="534"/>
      <c r="E74" s="534"/>
      <c r="F74" s="534"/>
      <c r="G74" s="534"/>
      <c r="H74" s="535" t="str">
        <f>IF(A74="","",LOOKUP(A74,BoonRef!$A$2:$A$430,BoonRef!$P$2:$P$430))</f>
        <v/>
      </c>
      <c r="I74" s="535"/>
      <c r="J74" s="529"/>
      <c r="K74" s="529"/>
      <c r="L74" s="529"/>
      <c r="M74" s="529"/>
      <c r="N74" s="529"/>
      <c r="O74" s="529"/>
      <c r="P74" s="529"/>
      <c r="Q74" s="529"/>
      <c r="R74" s="529"/>
      <c r="S74" s="529"/>
      <c r="T74" s="529"/>
      <c r="U74" s="529"/>
      <c r="V74" s="529"/>
      <c r="W74" s="529"/>
      <c r="X74" s="529"/>
      <c r="Y74" s="530"/>
      <c r="Z74" s="533"/>
      <c r="AA74" s="534"/>
      <c r="AB74" s="534"/>
      <c r="AC74" s="534"/>
      <c r="AD74" s="534"/>
      <c r="AE74" s="535" t="str">
        <f>IF(Z74="","",LOOKUP(Z74,KanckRef!$A$2:$A$170,KanckRef!$F$2:$F$170))</f>
        <v/>
      </c>
      <c r="AF74" s="535"/>
      <c r="AG74" s="529"/>
      <c r="AH74" s="529"/>
      <c r="AI74" s="529"/>
      <c r="AJ74" s="529"/>
      <c r="AK74" s="529"/>
      <c r="AL74" s="529"/>
      <c r="AM74" s="529"/>
      <c r="AN74" s="529"/>
      <c r="AO74" s="529"/>
      <c r="AP74" s="529"/>
      <c r="AQ74" s="529"/>
      <c r="AR74" s="529"/>
      <c r="AS74" s="529"/>
      <c r="AT74" s="529"/>
      <c r="AU74" s="529"/>
      <c r="AV74" s="529"/>
      <c r="AW74" s="529"/>
      <c r="AX74" s="530"/>
    </row>
    <row r="75" spans="1:50" ht="15" customHeight="1" x14ac:dyDescent="0.25">
      <c r="A75" s="533"/>
      <c r="B75" s="534"/>
      <c r="C75" s="534"/>
      <c r="D75" s="534"/>
      <c r="E75" s="534"/>
      <c r="F75" s="534"/>
      <c r="G75" s="534"/>
      <c r="H75" s="535" t="str">
        <f>IF(A74="","",LOOKUP(A74,BoonRef!$A$2:$A$430,BoonRef!$Q$2:$Q$430))</f>
        <v/>
      </c>
      <c r="I75" s="535"/>
      <c r="J75" s="529"/>
      <c r="K75" s="529"/>
      <c r="L75" s="529"/>
      <c r="M75" s="529"/>
      <c r="N75" s="529"/>
      <c r="O75" s="529"/>
      <c r="P75" s="529"/>
      <c r="Q75" s="529"/>
      <c r="R75" s="529"/>
      <c r="S75" s="529"/>
      <c r="T75" s="529"/>
      <c r="U75" s="529"/>
      <c r="V75" s="529"/>
      <c r="W75" s="529"/>
      <c r="X75" s="529"/>
      <c r="Y75" s="530"/>
      <c r="Z75" s="533"/>
      <c r="AA75" s="534"/>
      <c r="AB75" s="534"/>
      <c r="AC75" s="534"/>
      <c r="AD75" s="534"/>
      <c r="AE75" s="535"/>
      <c r="AF75" s="535"/>
      <c r="AG75" s="529"/>
      <c r="AH75" s="529"/>
      <c r="AI75" s="529"/>
      <c r="AJ75" s="529"/>
      <c r="AK75" s="529"/>
      <c r="AL75" s="529"/>
      <c r="AM75" s="529"/>
      <c r="AN75" s="529"/>
      <c r="AO75" s="529"/>
      <c r="AP75" s="529"/>
      <c r="AQ75" s="529"/>
      <c r="AR75" s="529"/>
      <c r="AS75" s="529"/>
      <c r="AT75" s="529"/>
      <c r="AU75" s="529"/>
      <c r="AV75" s="529"/>
      <c r="AW75" s="529"/>
      <c r="AX75" s="530"/>
    </row>
    <row r="76" spans="1:50" ht="15" customHeight="1" x14ac:dyDescent="0.25">
      <c r="A76" s="536" t="str">
        <f>IF(A74="","",LOOKUP(A74,BoonRef!$A$2:$A$430,BoonRef!$O$2:$O$430))</f>
        <v/>
      </c>
      <c r="B76" s="535"/>
      <c r="C76" s="535"/>
      <c r="D76" s="535"/>
      <c r="E76" s="535"/>
      <c r="F76" s="535"/>
      <c r="G76" s="535"/>
      <c r="H76" s="535"/>
      <c r="I76" s="535"/>
      <c r="J76" s="529"/>
      <c r="K76" s="529"/>
      <c r="L76" s="529"/>
      <c r="M76" s="529"/>
      <c r="N76" s="529"/>
      <c r="O76" s="529"/>
      <c r="P76" s="529"/>
      <c r="Q76" s="529"/>
      <c r="R76" s="529"/>
      <c r="S76" s="529"/>
      <c r="T76" s="529"/>
      <c r="U76" s="529"/>
      <c r="V76" s="529"/>
      <c r="W76" s="529"/>
      <c r="X76" s="529"/>
      <c r="Y76" s="530"/>
      <c r="Z76" s="536" t="str">
        <f>IF(Z74="","",LOOKUP(Z74,KanckRef!$A$2:$A$170,KanckRef!$D$2:$D$170))</f>
        <v/>
      </c>
      <c r="AA76" s="535"/>
      <c r="AB76" s="535"/>
      <c r="AC76" s="535"/>
      <c r="AD76" s="535"/>
      <c r="AE76" s="535"/>
      <c r="AF76" s="535"/>
      <c r="AG76" s="529"/>
      <c r="AH76" s="529"/>
      <c r="AI76" s="529"/>
      <c r="AJ76" s="529"/>
      <c r="AK76" s="529"/>
      <c r="AL76" s="529"/>
      <c r="AM76" s="529"/>
      <c r="AN76" s="529"/>
      <c r="AO76" s="529"/>
      <c r="AP76" s="529"/>
      <c r="AQ76" s="529"/>
      <c r="AR76" s="529"/>
      <c r="AS76" s="529"/>
      <c r="AT76" s="529"/>
      <c r="AU76" s="529"/>
      <c r="AV76" s="529"/>
      <c r="AW76" s="529"/>
      <c r="AX76" s="530"/>
    </row>
    <row r="77" spans="1:50" ht="15" customHeight="1" x14ac:dyDescent="0.25">
      <c r="A77" s="536" t="str">
        <f>IF(A74="","",LOOKUP(A74,BoonRef!$A$2:$A$430,BoonRef!$N$2:$N$430))</f>
        <v/>
      </c>
      <c r="B77" s="535"/>
      <c r="C77" s="535"/>
      <c r="D77" s="535"/>
      <c r="E77" s="535"/>
      <c r="F77" s="535"/>
      <c r="G77" s="535"/>
      <c r="H77" s="535"/>
      <c r="I77" s="535"/>
      <c r="J77" s="529"/>
      <c r="K77" s="529"/>
      <c r="L77" s="529"/>
      <c r="M77" s="529"/>
      <c r="N77" s="529"/>
      <c r="O77" s="529"/>
      <c r="P77" s="529"/>
      <c r="Q77" s="529"/>
      <c r="R77" s="529"/>
      <c r="S77" s="529"/>
      <c r="T77" s="529"/>
      <c r="U77" s="529"/>
      <c r="V77" s="529"/>
      <c r="W77" s="529"/>
      <c r="X77" s="529"/>
      <c r="Y77" s="530"/>
      <c r="Z77" s="536"/>
      <c r="AA77" s="535"/>
      <c r="AB77" s="535"/>
      <c r="AC77" s="535"/>
      <c r="AD77" s="535"/>
      <c r="AE77" s="535"/>
      <c r="AF77" s="535"/>
      <c r="AG77" s="529"/>
      <c r="AH77" s="529"/>
      <c r="AI77" s="529"/>
      <c r="AJ77" s="529"/>
      <c r="AK77" s="529"/>
      <c r="AL77" s="529"/>
      <c r="AM77" s="529"/>
      <c r="AN77" s="529"/>
      <c r="AO77" s="529"/>
      <c r="AP77" s="529"/>
      <c r="AQ77" s="529"/>
      <c r="AR77" s="529"/>
      <c r="AS77" s="529"/>
      <c r="AT77" s="529"/>
      <c r="AU77" s="529"/>
      <c r="AV77" s="529"/>
      <c r="AW77" s="529"/>
      <c r="AX77" s="530"/>
    </row>
    <row r="78" spans="1:50" ht="15" customHeight="1" thickBot="1" x14ac:dyDescent="0.3">
      <c r="A78" s="537"/>
      <c r="B78" s="538"/>
      <c r="C78" s="538"/>
      <c r="D78" s="538"/>
      <c r="E78" s="538"/>
      <c r="F78" s="538"/>
      <c r="G78" s="538"/>
      <c r="H78" s="538"/>
      <c r="I78" s="538"/>
      <c r="J78" s="531"/>
      <c r="K78" s="531"/>
      <c r="L78" s="531"/>
      <c r="M78" s="531"/>
      <c r="N78" s="531"/>
      <c r="O78" s="531"/>
      <c r="P78" s="531"/>
      <c r="Q78" s="531"/>
      <c r="R78" s="531"/>
      <c r="S78" s="531"/>
      <c r="T78" s="531"/>
      <c r="U78" s="531"/>
      <c r="V78" s="531"/>
      <c r="W78" s="531"/>
      <c r="X78" s="531"/>
      <c r="Y78" s="532"/>
      <c r="Z78" s="537"/>
      <c r="AA78" s="538"/>
      <c r="AB78" s="538"/>
      <c r="AC78" s="538"/>
      <c r="AD78" s="538"/>
      <c r="AE78" s="538"/>
      <c r="AF78" s="538"/>
      <c r="AG78" s="531"/>
      <c r="AH78" s="531"/>
      <c r="AI78" s="531"/>
      <c r="AJ78" s="531"/>
      <c r="AK78" s="531"/>
      <c r="AL78" s="531"/>
      <c r="AM78" s="531"/>
      <c r="AN78" s="531"/>
      <c r="AO78" s="531"/>
      <c r="AP78" s="531"/>
      <c r="AQ78" s="531"/>
      <c r="AR78" s="531"/>
      <c r="AS78" s="531"/>
      <c r="AT78" s="531"/>
      <c r="AU78" s="531"/>
      <c r="AV78" s="531"/>
      <c r="AW78" s="531"/>
      <c r="AX78" s="532"/>
    </row>
    <row r="79" spans="1:50" ht="15" customHeight="1" x14ac:dyDescent="0.25">
      <c r="A79" s="524"/>
      <c r="B79" s="525"/>
      <c r="C79" s="525"/>
      <c r="D79" s="525"/>
      <c r="E79" s="525"/>
      <c r="F79" s="525"/>
      <c r="G79" s="525"/>
      <c r="H79" s="526" t="str">
        <f>IF(A80="","",LOOKUP(A80,BoonRef!$A$2:$A$430,BoonRef!$C$2:$C$430))</f>
        <v/>
      </c>
      <c r="I79" s="526"/>
      <c r="J79" s="527"/>
      <c r="K79" s="527"/>
      <c r="L79" s="527"/>
      <c r="M79" s="527"/>
      <c r="N79" s="527"/>
      <c r="O79" s="527"/>
      <c r="P79" s="527"/>
      <c r="Q79" s="527"/>
      <c r="R79" s="527"/>
      <c r="S79" s="527"/>
      <c r="T79" s="527"/>
      <c r="U79" s="527"/>
      <c r="V79" s="527"/>
      <c r="W79" s="527"/>
      <c r="X79" s="527"/>
      <c r="Y79" s="528"/>
      <c r="Z79" s="524"/>
      <c r="AA79" s="525"/>
      <c r="AB79" s="525"/>
      <c r="AC79" s="525"/>
      <c r="AD79" s="525"/>
      <c r="AE79" s="526" t="str">
        <f>IF(Z80="","",LOOKUP(Z80,KanckRef!$A$2:$A$170,KanckRef!$E$2:$E$170))</f>
        <v/>
      </c>
      <c r="AF79" s="526"/>
      <c r="AG79" s="527"/>
      <c r="AH79" s="527"/>
      <c r="AI79" s="527"/>
      <c r="AJ79" s="527"/>
      <c r="AK79" s="527"/>
      <c r="AL79" s="527"/>
      <c r="AM79" s="527"/>
      <c r="AN79" s="527"/>
      <c r="AO79" s="527"/>
      <c r="AP79" s="527"/>
      <c r="AQ79" s="527"/>
      <c r="AR79" s="527"/>
      <c r="AS79" s="527"/>
      <c r="AT79" s="527"/>
      <c r="AU79" s="527"/>
      <c r="AV79" s="527"/>
      <c r="AW79" s="527"/>
      <c r="AX79" s="528"/>
    </row>
    <row r="80" spans="1:50" ht="15" customHeight="1" x14ac:dyDescent="0.25">
      <c r="A80" s="533"/>
      <c r="B80" s="534"/>
      <c r="C80" s="534"/>
      <c r="D80" s="534"/>
      <c r="E80" s="534"/>
      <c r="F80" s="534"/>
      <c r="G80" s="534"/>
      <c r="H80" s="535" t="str">
        <f>IF(A80="","",LOOKUP(A80,BoonRef!$A$2:$A$430,BoonRef!$P$2:$P$430))</f>
        <v/>
      </c>
      <c r="I80" s="535"/>
      <c r="J80" s="529"/>
      <c r="K80" s="529"/>
      <c r="L80" s="529"/>
      <c r="M80" s="529"/>
      <c r="N80" s="529"/>
      <c r="O80" s="529"/>
      <c r="P80" s="529"/>
      <c r="Q80" s="529"/>
      <c r="R80" s="529"/>
      <c r="S80" s="529"/>
      <c r="T80" s="529"/>
      <c r="U80" s="529"/>
      <c r="V80" s="529"/>
      <c r="W80" s="529"/>
      <c r="X80" s="529"/>
      <c r="Y80" s="530"/>
      <c r="Z80" s="533"/>
      <c r="AA80" s="534"/>
      <c r="AB80" s="534"/>
      <c r="AC80" s="534"/>
      <c r="AD80" s="534"/>
      <c r="AE80" s="535" t="str">
        <f>IF(Z80="","",LOOKUP(Z80,KanckRef!$A$2:$A$170,KanckRef!$F$2:$F$170))</f>
        <v/>
      </c>
      <c r="AF80" s="535"/>
      <c r="AG80" s="529"/>
      <c r="AH80" s="529"/>
      <c r="AI80" s="529"/>
      <c r="AJ80" s="529"/>
      <c r="AK80" s="529"/>
      <c r="AL80" s="529"/>
      <c r="AM80" s="529"/>
      <c r="AN80" s="529"/>
      <c r="AO80" s="529"/>
      <c r="AP80" s="529"/>
      <c r="AQ80" s="529"/>
      <c r="AR80" s="529"/>
      <c r="AS80" s="529"/>
      <c r="AT80" s="529"/>
      <c r="AU80" s="529"/>
      <c r="AV80" s="529"/>
      <c r="AW80" s="529"/>
      <c r="AX80" s="530"/>
    </row>
    <row r="81" spans="1:50" ht="15" customHeight="1" x14ac:dyDescent="0.25">
      <c r="A81" s="533"/>
      <c r="B81" s="534"/>
      <c r="C81" s="534"/>
      <c r="D81" s="534"/>
      <c r="E81" s="534"/>
      <c r="F81" s="534"/>
      <c r="G81" s="534"/>
      <c r="H81" s="535" t="str">
        <f>IF(A80="","",LOOKUP(A80,BoonRef!$A$2:$A$430,BoonRef!$Q$2:$Q$430))</f>
        <v/>
      </c>
      <c r="I81" s="535"/>
      <c r="J81" s="529"/>
      <c r="K81" s="529"/>
      <c r="L81" s="529"/>
      <c r="M81" s="529"/>
      <c r="N81" s="529"/>
      <c r="O81" s="529"/>
      <c r="P81" s="529"/>
      <c r="Q81" s="529"/>
      <c r="R81" s="529"/>
      <c r="S81" s="529"/>
      <c r="T81" s="529"/>
      <c r="U81" s="529"/>
      <c r="V81" s="529"/>
      <c r="W81" s="529"/>
      <c r="X81" s="529"/>
      <c r="Y81" s="530"/>
      <c r="Z81" s="533"/>
      <c r="AA81" s="534"/>
      <c r="AB81" s="534"/>
      <c r="AC81" s="534"/>
      <c r="AD81" s="534"/>
      <c r="AE81" s="535"/>
      <c r="AF81" s="535"/>
      <c r="AG81" s="529"/>
      <c r="AH81" s="529"/>
      <c r="AI81" s="529"/>
      <c r="AJ81" s="529"/>
      <c r="AK81" s="529"/>
      <c r="AL81" s="529"/>
      <c r="AM81" s="529"/>
      <c r="AN81" s="529"/>
      <c r="AO81" s="529"/>
      <c r="AP81" s="529"/>
      <c r="AQ81" s="529"/>
      <c r="AR81" s="529"/>
      <c r="AS81" s="529"/>
      <c r="AT81" s="529"/>
      <c r="AU81" s="529"/>
      <c r="AV81" s="529"/>
      <c r="AW81" s="529"/>
      <c r="AX81" s="530"/>
    </row>
    <row r="82" spans="1:50" ht="15" customHeight="1" x14ac:dyDescent="0.25">
      <c r="A82" s="536" t="str">
        <f>IF(A80="","",LOOKUP(A80,BoonRef!$A$2:$A$430,BoonRef!$O$2:$O$430))</f>
        <v/>
      </c>
      <c r="B82" s="535"/>
      <c r="C82" s="535"/>
      <c r="D82" s="535"/>
      <c r="E82" s="535"/>
      <c r="F82" s="535"/>
      <c r="G82" s="535"/>
      <c r="H82" s="535"/>
      <c r="I82" s="535"/>
      <c r="J82" s="529"/>
      <c r="K82" s="529"/>
      <c r="L82" s="529"/>
      <c r="M82" s="529"/>
      <c r="N82" s="529"/>
      <c r="O82" s="529"/>
      <c r="P82" s="529"/>
      <c r="Q82" s="529"/>
      <c r="R82" s="529"/>
      <c r="S82" s="529"/>
      <c r="T82" s="529"/>
      <c r="U82" s="529"/>
      <c r="V82" s="529"/>
      <c r="W82" s="529"/>
      <c r="X82" s="529"/>
      <c r="Y82" s="530"/>
      <c r="Z82" s="536" t="str">
        <f>IF(Z80="","",LOOKUP(Z80,KanckRef!$A$2:$A$170,KanckRef!$D$2:$D$170))</f>
        <v/>
      </c>
      <c r="AA82" s="535"/>
      <c r="AB82" s="535"/>
      <c r="AC82" s="535"/>
      <c r="AD82" s="535"/>
      <c r="AE82" s="535"/>
      <c r="AF82" s="535"/>
      <c r="AG82" s="529"/>
      <c r="AH82" s="529"/>
      <c r="AI82" s="529"/>
      <c r="AJ82" s="529"/>
      <c r="AK82" s="529"/>
      <c r="AL82" s="529"/>
      <c r="AM82" s="529"/>
      <c r="AN82" s="529"/>
      <c r="AO82" s="529"/>
      <c r="AP82" s="529"/>
      <c r="AQ82" s="529"/>
      <c r="AR82" s="529"/>
      <c r="AS82" s="529"/>
      <c r="AT82" s="529"/>
      <c r="AU82" s="529"/>
      <c r="AV82" s="529"/>
      <c r="AW82" s="529"/>
      <c r="AX82" s="530"/>
    </row>
    <row r="83" spans="1:50" ht="15" customHeight="1" x14ac:dyDescent="0.25">
      <c r="A83" s="536" t="str">
        <f>IF(A80="","",LOOKUP(A80,BoonRef!$A$2:$A$430,BoonRef!$N$2:$N$430))</f>
        <v/>
      </c>
      <c r="B83" s="535"/>
      <c r="C83" s="535"/>
      <c r="D83" s="535"/>
      <c r="E83" s="535"/>
      <c r="F83" s="535"/>
      <c r="G83" s="535"/>
      <c r="H83" s="535"/>
      <c r="I83" s="535"/>
      <c r="J83" s="529"/>
      <c r="K83" s="529"/>
      <c r="L83" s="529"/>
      <c r="M83" s="529"/>
      <c r="N83" s="529"/>
      <c r="O83" s="529"/>
      <c r="P83" s="529"/>
      <c r="Q83" s="529"/>
      <c r="R83" s="529"/>
      <c r="S83" s="529"/>
      <c r="T83" s="529"/>
      <c r="U83" s="529"/>
      <c r="V83" s="529"/>
      <c r="W83" s="529"/>
      <c r="X83" s="529"/>
      <c r="Y83" s="530"/>
      <c r="Z83" s="536"/>
      <c r="AA83" s="535"/>
      <c r="AB83" s="535"/>
      <c r="AC83" s="535"/>
      <c r="AD83" s="535"/>
      <c r="AE83" s="535"/>
      <c r="AF83" s="535"/>
      <c r="AG83" s="529"/>
      <c r="AH83" s="529"/>
      <c r="AI83" s="529"/>
      <c r="AJ83" s="529"/>
      <c r="AK83" s="529"/>
      <c r="AL83" s="529"/>
      <c r="AM83" s="529"/>
      <c r="AN83" s="529"/>
      <c r="AO83" s="529"/>
      <c r="AP83" s="529"/>
      <c r="AQ83" s="529"/>
      <c r="AR83" s="529"/>
      <c r="AS83" s="529"/>
      <c r="AT83" s="529"/>
      <c r="AU83" s="529"/>
      <c r="AV83" s="529"/>
      <c r="AW83" s="529"/>
      <c r="AX83" s="530"/>
    </row>
    <row r="84" spans="1:50" ht="15" customHeight="1" thickBot="1" x14ac:dyDescent="0.3">
      <c r="A84" s="537"/>
      <c r="B84" s="538"/>
      <c r="C84" s="538"/>
      <c r="D84" s="538"/>
      <c r="E84" s="538"/>
      <c r="F84" s="538"/>
      <c r="G84" s="538"/>
      <c r="H84" s="538"/>
      <c r="I84" s="538"/>
      <c r="J84" s="531"/>
      <c r="K84" s="531"/>
      <c r="L84" s="531"/>
      <c r="M84" s="531"/>
      <c r="N84" s="531"/>
      <c r="O84" s="531"/>
      <c r="P84" s="531"/>
      <c r="Q84" s="531"/>
      <c r="R84" s="531"/>
      <c r="S84" s="531"/>
      <c r="T84" s="531"/>
      <c r="U84" s="531"/>
      <c r="V84" s="531"/>
      <c r="W84" s="531"/>
      <c r="X84" s="531"/>
      <c r="Y84" s="532"/>
      <c r="Z84" s="537"/>
      <c r="AA84" s="538"/>
      <c r="AB84" s="538"/>
      <c r="AC84" s="538"/>
      <c r="AD84" s="538"/>
      <c r="AE84" s="538"/>
      <c r="AF84" s="538"/>
      <c r="AG84" s="531"/>
      <c r="AH84" s="531"/>
      <c r="AI84" s="531"/>
      <c r="AJ84" s="531"/>
      <c r="AK84" s="531"/>
      <c r="AL84" s="531"/>
      <c r="AM84" s="531"/>
      <c r="AN84" s="531"/>
      <c r="AO84" s="531"/>
      <c r="AP84" s="531"/>
      <c r="AQ84" s="531"/>
      <c r="AR84" s="531"/>
      <c r="AS84" s="531"/>
      <c r="AT84" s="531"/>
      <c r="AU84" s="531"/>
      <c r="AV84" s="531"/>
      <c r="AW84" s="531"/>
      <c r="AX84" s="532"/>
    </row>
    <row r="85" spans="1:50" ht="15" customHeight="1" x14ac:dyDescent="0.25">
      <c r="A85" s="524"/>
      <c r="B85" s="525"/>
      <c r="C85" s="525"/>
      <c r="D85" s="525"/>
      <c r="E85" s="525"/>
      <c r="F85" s="525"/>
      <c r="G85" s="525"/>
      <c r="H85" s="526" t="str">
        <f>IF(A86="","",LOOKUP(A86,BoonRef!$A$2:$A$430,BoonRef!$C$2:$C$430))</f>
        <v/>
      </c>
      <c r="I85" s="526"/>
      <c r="J85" s="527"/>
      <c r="K85" s="527"/>
      <c r="L85" s="527"/>
      <c r="M85" s="527"/>
      <c r="N85" s="527"/>
      <c r="O85" s="527"/>
      <c r="P85" s="527"/>
      <c r="Q85" s="527"/>
      <c r="R85" s="527"/>
      <c r="S85" s="527"/>
      <c r="T85" s="527"/>
      <c r="U85" s="527"/>
      <c r="V85" s="527"/>
      <c r="W85" s="527"/>
      <c r="X85" s="527"/>
      <c r="Y85" s="528"/>
      <c r="Z85" s="524"/>
      <c r="AA85" s="525"/>
      <c r="AB85" s="525"/>
      <c r="AC85" s="525"/>
      <c r="AD85" s="525"/>
      <c r="AE85" s="526" t="str">
        <f>IF(Z86="","",LOOKUP(Z86,KanckRef!$A$2:$A$170,KanckRef!$E$2:$E$170))</f>
        <v/>
      </c>
      <c r="AF85" s="526"/>
      <c r="AG85" s="527"/>
      <c r="AH85" s="527"/>
      <c r="AI85" s="527"/>
      <c r="AJ85" s="527"/>
      <c r="AK85" s="527"/>
      <c r="AL85" s="527"/>
      <c r="AM85" s="527"/>
      <c r="AN85" s="527"/>
      <c r="AO85" s="527"/>
      <c r="AP85" s="527"/>
      <c r="AQ85" s="527"/>
      <c r="AR85" s="527"/>
      <c r="AS85" s="527"/>
      <c r="AT85" s="527"/>
      <c r="AU85" s="527"/>
      <c r="AV85" s="527"/>
      <c r="AW85" s="527"/>
      <c r="AX85" s="528"/>
    </row>
    <row r="86" spans="1:50" ht="15" customHeight="1" x14ac:dyDescent="0.25">
      <c r="A86" s="533"/>
      <c r="B86" s="534"/>
      <c r="C86" s="534"/>
      <c r="D86" s="534"/>
      <c r="E86" s="534"/>
      <c r="F86" s="534"/>
      <c r="G86" s="534"/>
      <c r="H86" s="535" t="str">
        <f>IF(A86="","",LOOKUP(A86,BoonRef!$A$2:$A$430,BoonRef!$P$2:$P$430))</f>
        <v/>
      </c>
      <c r="I86" s="535"/>
      <c r="J86" s="529"/>
      <c r="K86" s="529"/>
      <c r="L86" s="529"/>
      <c r="M86" s="529"/>
      <c r="N86" s="529"/>
      <c r="O86" s="529"/>
      <c r="P86" s="529"/>
      <c r="Q86" s="529"/>
      <c r="R86" s="529"/>
      <c r="S86" s="529"/>
      <c r="T86" s="529"/>
      <c r="U86" s="529"/>
      <c r="V86" s="529"/>
      <c r="W86" s="529"/>
      <c r="X86" s="529"/>
      <c r="Y86" s="530"/>
      <c r="Z86" s="533"/>
      <c r="AA86" s="534"/>
      <c r="AB86" s="534"/>
      <c r="AC86" s="534"/>
      <c r="AD86" s="534"/>
      <c r="AE86" s="535" t="str">
        <f>IF(Z86="","",LOOKUP(Z86,KanckRef!$A$2:$A$170,KanckRef!$F$2:$F$170))</f>
        <v/>
      </c>
      <c r="AF86" s="535"/>
      <c r="AG86" s="529"/>
      <c r="AH86" s="529"/>
      <c r="AI86" s="529"/>
      <c r="AJ86" s="529"/>
      <c r="AK86" s="529"/>
      <c r="AL86" s="529"/>
      <c r="AM86" s="529"/>
      <c r="AN86" s="529"/>
      <c r="AO86" s="529"/>
      <c r="AP86" s="529"/>
      <c r="AQ86" s="529"/>
      <c r="AR86" s="529"/>
      <c r="AS86" s="529"/>
      <c r="AT86" s="529"/>
      <c r="AU86" s="529"/>
      <c r="AV86" s="529"/>
      <c r="AW86" s="529"/>
      <c r="AX86" s="530"/>
    </row>
    <row r="87" spans="1:50" ht="15" customHeight="1" x14ac:dyDescent="0.25">
      <c r="A87" s="533"/>
      <c r="B87" s="534"/>
      <c r="C87" s="534"/>
      <c r="D87" s="534"/>
      <c r="E87" s="534"/>
      <c r="F87" s="534"/>
      <c r="G87" s="534"/>
      <c r="H87" s="535" t="str">
        <f>IF(A86="","",LOOKUP(A86,BoonRef!$A$2:$A$430,BoonRef!$Q$2:$Q$430))</f>
        <v/>
      </c>
      <c r="I87" s="535"/>
      <c r="J87" s="529"/>
      <c r="K87" s="529"/>
      <c r="L87" s="529"/>
      <c r="M87" s="529"/>
      <c r="N87" s="529"/>
      <c r="O87" s="529"/>
      <c r="P87" s="529"/>
      <c r="Q87" s="529"/>
      <c r="R87" s="529"/>
      <c r="S87" s="529"/>
      <c r="T87" s="529"/>
      <c r="U87" s="529"/>
      <c r="V87" s="529"/>
      <c r="W87" s="529"/>
      <c r="X87" s="529"/>
      <c r="Y87" s="530"/>
      <c r="Z87" s="533"/>
      <c r="AA87" s="534"/>
      <c r="AB87" s="534"/>
      <c r="AC87" s="534"/>
      <c r="AD87" s="534"/>
      <c r="AE87" s="535"/>
      <c r="AF87" s="535"/>
      <c r="AG87" s="529"/>
      <c r="AH87" s="529"/>
      <c r="AI87" s="529"/>
      <c r="AJ87" s="529"/>
      <c r="AK87" s="529"/>
      <c r="AL87" s="529"/>
      <c r="AM87" s="529"/>
      <c r="AN87" s="529"/>
      <c r="AO87" s="529"/>
      <c r="AP87" s="529"/>
      <c r="AQ87" s="529"/>
      <c r="AR87" s="529"/>
      <c r="AS87" s="529"/>
      <c r="AT87" s="529"/>
      <c r="AU87" s="529"/>
      <c r="AV87" s="529"/>
      <c r="AW87" s="529"/>
      <c r="AX87" s="530"/>
    </row>
    <row r="88" spans="1:50" ht="15" customHeight="1" x14ac:dyDescent="0.25">
      <c r="A88" s="536" t="str">
        <f>IF(A86="","",LOOKUP(A86,BoonRef!$A$2:$A$430,BoonRef!$O$2:$O$430))</f>
        <v/>
      </c>
      <c r="B88" s="535"/>
      <c r="C88" s="535"/>
      <c r="D88" s="535"/>
      <c r="E88" s="535"/>
      <c r="F88" s="535"/>
      <c r="G88" s="535"/>
      <c r="H88" s="535"/>
      <c r="I88" s="535"/>
      <c r="J88" s="529"/>
      <c r="K88" s="529"/>
      <c r="L88" s="529"/>
      <c r="M88" s="529"/>
      <c r="N88" s="529"/>
      <c r="O88" s="529"/>
      <c r="P88" s="529"/>
      <c r="Q88" s="529"/>
      <c r="R88" s="529"/>
      <c r="S88" s="529"/>
      <c r="T88" s="529"/>
      <c r="U88" s="529"/>
      <c r="V88" s="529"/>
      <c r="W88" s="529"/>
      <c r="X88" s="529"/>
      <c r="Y88" s="530"/>
      <c r="Z88" s="536" t="str">
        <f>IF(Z86="","",LOOKUP(Z86,KanckRef!$A$2:$A$170,KanckRef!$D$2:$D$170))</f>
        <v/>
      </c>
      <c r="AA88" s="535"/>
      <c r="AB88" s="535"/>
      <c r="AC88" s="535"/>
      <c r="AD88" s="535"/>
      <c r="AE88" s="535"/>
      <c r="AF88" s="535"/>
      <c r="AG88" s="529"/>
      <c r="AH88" s="529"/>
      <c r="AI88" s="529"/>
      <c r="AJ88" s="529"/>
      <c r="AK88" s="529"/>
      <c r="AL88" s="529"/>
      <c r="AM88" s="529"/>
      <c r="AN88" s="529"/>
      <c r="AO88" s="529"/>
      <c r="AP88" s="529"/>
      <c r="AQ88" s="529"/>
      <c r="AR88" s="529"/>
      <c r="AS88" s="529"/>
      <c r="AT88" s="529"/>
      <c r="AU88" s="529"/>
      <c r="AV88" s="529"/>
      <c r="AW88" s="529"/>
      <c r="AX88" s="530"/>
    </row>
    <row r="89" spans="1:50" ht="15" customHeight="1" x14ac:dyDescent="0.25">
      <c r="A89" s="536" t="str">
        <f>IF(A86="","",LOOKUP(A86,BoonRef!$A$2:$A$430,BoonRef!$N$2:$N$430))</f>
        <v/>
      </c>
      <c r="B89" s="535"/>
      <c r="C89" s="535"/>
      <c r="D89" s="535"/>
      <c r="E89" s="535"/>
      <c r="F89" s="535"/>
      <c r="G89" s="535"/>
      <c r="H89" s="535"/>
      <c r="I89" s="535"/>
      <c r="J89" s="529"/>
      <c r="K89" s="529"/>
      <c r="L89" s="529"/>
      <c r="M89" s="529"/>
      <c r="N89" s="529"/>
      <c r="O89" s="529"/>
      <c r="P89" s="529"/>
      <c r="Q89" s="529"/>
      <c r="R89" s="529"/>
      <c r="S89" s="529"/>
      <c r="T89" s="529"/>
      <c r="U89" s="529"/>
      <c r="V89" s="529"/>
      <c r="W89" s="529"/>
      <c r="X89" s="529"/>
      <c r="Y89" s="530"/>
      <c r="Z89" s="536"/>
      <c r="AA89" s="535"/>
      <c r="AB89" s="535"/>
      <c r="AC89" s="535"/>
      <c r="AD89" s="535"/>
      <c r="AE89" s="535"/>
      <c r="AF89" s="535"/>
      <c r="AG89" s="529"/>
      <c r="AH89" s="529"/>
      <c r="AI89" s="529"/>
      <c r="AJ89" s="529"/>
      <c r="AK89" s="529"/>
      <c r="AL89" s="529"/>
      <c r="AM89" s="529"/>
      <c r="AN89" s="529"/>
      <c r="AO89" s="529"/>
      <c r="AP89" s="529"/>
      <c r="AQ89" s="529"/>
      <c r="AR89" s="529"/>
      <c r="AS89" s="529"/>
      <c r="AT89" s="529"/>
      <c r="AU89" s="529"/>
      <c r="AV89" s="529"/>
      <c r="AW89" s="529"/>
      <c r="AX89" s="530"/>
    </row>
    <row r="90" spans="1:50" ht="15" customHeight="1" thickBot="1" x14ac:dyDescent="0.3">
      <c r="A90" s="537"/>
      <c r="B90" s="538"/>
      <c r="C90" s="538"/>
      <c r="D90" s="538"/>
      <c r="E90" s="538"/>
      <c r="F90" s="538"/>
      <c r="G90" s="538"/>
      <c r="H90" s="538"/>
      <c r="I90" s="538"/>
      <c r="J90" s="531"/>
      <c r="K90" s="531"/>
      <c r="L90" s="531"/>
      <c r="M90" s="531"/>
      <c r="N90" s="531"/>
      <c r="O90" s="531"/>
      <c r="P90" s="531"/>
      <c r="Q90" s="531"/>
      <c r="R90" s="531"/>
      <c r="S90" s="531"/>
      <c r="T90" s="531"/>
      <c r="U90" s="531"/>
      <c r="V90" s="531"/>
      <c r="W90" s="531"/>
      <c r="X90" s="531"/>
      <c r="Y90" s="532"/>
      <c r="Z90" s="537"/>
      <c r="AA90" s="538"/>
      <c r="AB90" s="538"/>
      <c r="AC90" s="538"/>
      <c r="AD90" s="538"/>
      <c r="AE90" s="538"/>
      <c r="AF90" s="538"/>
      <c r="AG90" s="531"/>
      <c r="AH90" s="531"/>
      <c r="AI90" s="531"/>
      <c r="AJ90" s="531"/>
      <c r="AK90" s="531"/>
      <c r="AL90" s="531"/>
      <c r="AM90" s="531"/>
      <c r="AN90" s="531"/>
      <c r="AO90" s="531"/>
      <c r="AP90" s="531"/>
      <c r="AQ90" s="531"/>
      <c r="AR90" s="531"/>
      <c r="AS90" s="531"/>
      <c r="AT90" s="531"/>
      <c r="AU90" s="531"/>
      <c r="AV90" s="531"/>
      <c r="AW90" s="531"/>
      <c r="AX90" s="532"/>
    </row>
    <row r="91" spans="1:50" ht="15" customHeight="1" x14ac:dyDescent="0.25">
      <c r="A91" s="524"/>
      <c r="B91" s="525"/>
      <c r="C91" s="525"/>
      <c r="D91" s="525"/>
      <c r="E91" s="525"/>
      <c r="F91" s="525"/>
      <c r="G91" s="525"/>
      <c r="H91" s="526" t="str">
        <f>IF(A92="","",LOOKUP(A92,BoonRef!$A$2:$A$430,BoonRef!$C$2:$C$430))</f>
        <v/>
      </c>
      <c r="I91" s="526"/>
      <c r="J91" s="527"/>
      <c r="K91" s="527"/>
      <c r="L91" s="527"/>
      <c r="M91" s="527"/>
      <c r="N91" s="527"/>
      <c r="O91" s="527"/>
      <c r="P91" s="527"/>
      <c r="Q91" s="527"/>
      <c r="R91" s="527"/>
      <c r="S91" s="527"/>
      <c r="T91" s="527"/>
      <c r="U91" s="527"/>
      <c r="V91" s="527"/>
      <c r="W91" s="527"/>
      <c r="X91" s="527"/>
      <c r="Y91" s="528"/>
      <c r="Z91" s="524"/>
      <c r="AA91" s="525"/>
      <c r="AB91" s="525"/>
      <c r="AC91" s="525"/>
      <c r="AD91" s="525"/>
      <c r="AE91" s="526" t="str">
        <f>IF(Z92="","",LOOKUP(Z92,KanckRef!$A$2:$A$170,KanckRef!$E$2:$E$170))</f>
        <v/>
      </c>
      <c r="AF91" s="526"/>
      <c r="AG91" s="527"/>
      <c r="AH91" s="527"/>
      <c r="AI91" s="527"/>
      <c r="AJ91" s="527"/>
      <c r="AK91" s="527"/>
      <c r="AL91" s="527"/>
      <c r="AM91" s="527"/>
      <c r="AN91" s="527"/>
      <c r="AO91" s="527"/>
      <c r="AP91" s="527"/>
      <c r="AQ91" s="527"/>
      <c r="AR91" s="527"/>
      <c r="AS91" s="527"/>
      <c r="AT91" s="527"/>
      <c r="AU91" s="527"/>
      <c r="AV91" s="527"/>
      <c r="AW91" s="527"/>
      <c r="AX91" s="528"/>
    </row>
    <row r="92" spans="1:50" ht="15" customHeight="1" x14ac:dyDescent="0.25">
      <c r="A92" s="533"/>
      <c r="B92" s="534"/>
      <c r="C92" s="534"/>
      <c r="D92" s="534"/>
      <c r="E92" s="534"/>
      <c r="F92" s="534"/>
      <c r="G92" s="534"/>
      <c r="H92" s="535" t="str">
        <f>IF(A92="","",LOOKUP(A92,BoonRef!$A$2:$A$430,BoonRef!$P$2:$P$430))</f>
        <v/>
      </c>
      <c r="I92" s="535"/>
      <c r="J92" s="529"/>
      <c r="K92" s="529"/>
      <c r="L92" s="529"/>
      <c r="M92" s="529"/>
      <c r="N92" s="529"/>
      <c r="O92" s="529"/>
      <c r="P92" s="529"/>
      <c r="Q92" s="529"/>
      <c r="R92" s="529"/>
      <c r="S92" s="529"/>
      <c r="T92" s="529"/>
      <c r="U92" s="529"/>
      <c r="V92" s="529"/>
      <c r="W92" s="529"/>
      <c r="X92" s="529"/>
      <c r="Y92" s="530"/>
      <c r="Z92" s="533"/>
      <c r="AA92" s="534"/>
      <c r="AB92" s="534"/>
      <c r="AC92" s="534"/>
      <c r="AD92" s="534"/>
      <c r="AE92" s="535" t="str">
        <f>IF(Z92="","",LOOKUP(Z92,KanckRef!$A$2:$A$170,KanckRef!$F$2:$F$170))</f>
        <v/>
      </c>
      <c r="AF92" s="535"/>
      <c r="AG92" s="529"/>
      <c r="AH92" s="529"/>
      <c r="AI92" s="529"/>
      <c r="AJ92" s="529"/>
      <c r="AK92" s="529"/>
      <c r="AL92" s="529"/>
      <c r="AM92" s="529"/>
      <c r="AN92" s="529"/>
      <c r="AO92" s="529"/>
      <c r="AP92" s="529"/>
      <c r="AQ92" s="529"/>
      <c r="AR92" s="529"/>
      <c r="AS92" s="529"/>
      <c r="AT92" s="529"/>
      <c r="AU92" s="529"/>
      <c r="AV92" s="529"/>
      <c r="AW92" s="529"/>
      <c r="AX92" s="530"/>
    </row>
    <row r="93" spans="1:50" ht="15.75" customHeight="1" x14ac:dyDescent="0.25">
      <c r="A93" s="533"/>
      <c r="B93" s="534"/>
      <c r="C93" s="534"/>
      <c r="D93" s="534"/>
      <c r="E93" s="534"/>
      <c r="F93" s="534"/>
      <c r="G93" s="534"/>
      <c r="H93" s="535" t="str">
        <f>IF(A92="","",LOOKUP(A92,BoonRef!$A$2:$A$430,BoonRef!$Q$2:$Q$430))</f>
        <v/>
      </c>
      <c r="I93" s="535"/>
      <c r="J93" s="529"/>
      <c r="K93" s="529"/>
      <c r="L93" s="529"/>
      <c r="M93" s="529"/>
      <c r="N93" s="529"/>
      <c r="O93" s="529"/>
      <c r="P93" s="529"/>
      <c r="Q93" s="529"/>
      <c r="R93" s="529"/>
      <c r="S93" s="529"/>
      <c r="T93" s="529"/>
      <c r="U93" s="529"/>
      <c r="V93" s="529"/>
      <c r="W93" s="529"/>
      <c r="X93" s="529"/>
      <c r="Y93" s="530"/>
      <c r="Z93" s="533"/>
      <c r="AA93" s="534"/>
      <c r="AB93" s="534"/>
      <c r="AC93" s="534"/>
      <c r="AD93" s="534"/>
      <c r="AE93" s="535"/>
      <c r="AF93" s="535"/>
      <c r="AG93" s="529"/>
      <c r="AH93" s="529"/>
      <c r="AI93" s="529"/>
      <c r="AJ93" s="529"/>
      <c r="AK93" s="529"/>
      <c r="AL93" s="529"/>
      <c r="AM93" s="529"/>
      <c r="AN93" s="529"/>
      <c r="AO93" s="529"/>
      <c r="AP93" s="529"/>
      <c r="AQ93" s="529"/>
      <c r="AR93" s="529"/>
      <c r="AS93" s="529"/>
      <c r="AT93" s="529"/>
      <c r="AU93" s="529"/>
      <c r="AV93" s="529"/>
      <c r="AW93" s="529"/>
      <c r="AX93" s="530"/>
    </row>
    <row r="94" spans="1:50" ht="15" customHeight="1" x14ac:dyDescent="0.25">
      <c r="A94" s="536" t="str">
        <f>IF(A92="","",LOOKUP(A92,BoonRef!$A$2:$A$430,BoonRef!$O$2:$O$430))</f>
        <v/>
      </c>
      <c r="B94" s="535"/>
      <c r="C94" s="535"/>
      <c r="D94" s="535"/>
      <c r="E94" s="535"/>
      <c r="F94" s="535"/>
      <c r="G94" s="535"/>
      <c r="H94" s="535"/>
      <c r="I94" s="535"/>
      <c r="J94" s="529"/>
      <c r="K94" s="529"/>
      <c r="L94" s="529"/>
      <c r="M94" s="529"/>
      <c r="N94" s="529"/>
      <c r="O94" s="529"/>
      <c r="P94" s="529"/>
      <c r="Q94" s="529"/>
      <c r="R94" s="529"/>
      <c r="S94" s="529"/>
      <c r="T94" s="529"/>
      <c r="U94" s="529"/>
      <c r="V94" s="529"/>
      <c r="W94" s="529"/>
      <c r="X94" s="529"/>
      <c r="Y94" s="530"/>
      <c r="Z94" s="536" t="str">
        <f>IF(Z92="","",LOOKUP(Z92,KanckRef!$A$2:$A$170,KanckRef!$D$2:$D$170))</f>
        <v/>
      </c>
      <c r="AA94" s="535"/>
      <c r="AB94" s="535"/>
      <c r="AC94" s="535"/>
      <c r="AD94" s="535"/>
      <c r="AE94" s="535"/>
      <c r="AF94" s="535"/>
      <c r="AG94" s="529"/>
      <c r="AH94" s="529"/>
      <c r="AI94" s="529"/>
      <c r="AJ94" s="529"/>
      <c r="AK94" s="529"/>
      <c r="AL94" s="529"/>
      <c r="AM94" s="529"/>
      <c r="AN94" s="529"/>
      <c r="AO94" s="529"/>
      <c r="AP94" s="529"/>
      <c r="AQ94" s="529"/>
      <c r="AR94" s="529"/>
      <c r="AS94" s="529"/>
      <c r="AT94" s="529"/>
      <c r="AU94" s="529"/>
      <c r="AV94" s="529"/>
      <c r="AW94" s="529"/>
      <c r="AX94" s="530"/>
    </row>
    <row r="95" spans="1:50" ht="15" customHeight="1" x14ac:dyDescent="0.25">
      <c r="A95" s="536" t="str">
        <f>IF(A92="","",LOOKUP(A92,BoonRef!$A$2:$A$430,BoonRef!$N$2:$N$430))</f>
        <v/>
      </c>
      <c r="B95" s="535"/>
      <c r="C95" s="535"/>
      <c r="D95" s="535"/>
      <c r="E95" s="535"/>
      <c r="F95" s="535"/>
      <c r="G95" s="535"/>
      <c r="H95" s="535"/>
      <c r="I95" s="535"/>
      <c r="J95" s="529"/>
      <c r="K95" s="529"/>
      <c r="L95" s="529"/>
      <c r="M95" s="529"/>
      <c r="N95" s="529"/>
      <c r="O95" s="529"/>
      <c r="P95" s="529"/>
      <c r="Q95" s="529"/>
      <c r="R95" s="529"/>
      <c r="S95" s="529"/>
      <c r="T95" s="529"/>
      <c r="U95" s="529"/>
      <c r="V95" s="529"/>
      <c r="W95" s="529"/>
      <c r="X95" s="529"/>
      <c r="Y95" s="530"/>
      <c r="Z95" s="536"/>
      <c r="AA95" s="535"/>
      <c r="AB95" s="535"/>
      <c r="AC95" s="535"/>
      <c r="AD95" s="535"/>
      <c r="AE95" s="535"/>
      <c r="AF95" s="535"/>
      <c r="AG95" s="529"/>
      <c r="AH95" s="529"/>
      <c r="AI95" s="529"/>
      <c r="AJ95" s="529"/>
      <c r="AK95" s="529"/>
      <c r="AL95" s="529"/>
      <c r="AM95" s="529"/>
      <c r="AN95" s="529"/>
      <c r="AO95" s="529"/>
      <c r="AP95" s="529"/>
      <c r="AQ95" s="529"/>
      <c r="AR95" s="529"/>
      <c r="AS95" s="529"/>
      <c r="AT95" s="529"/>
      <c r="AU95" s="529"/>
      <c r="AV95" s="529"/>
      <c r="AW95" s="529"/>
      <c r="AX95" s="530"/>
    </row>
    <row r="96" spans="1:50" ht="15" customHeight="1" thickBot="1" x14ac:dyDescent="0.3">
      <c r="A96" s="537"/>
      <c r="B96" s="538"/>
      <c r="C96" s="538"/>
      <c r="D96" s="538"/>
      <c r="E96" s="538"/>
      <c r="F96" s="538"/>
      <c r="G96" s="538"/>
      <c r="H96" s="538"/>
      <c r="I96" s="538"/>
      <c r="J96" s="531"/>
      <c r="K96" s="531"/>
      <c r="L96" s="531"/>
      <c r="M96" s="531"/>
      <c r="N96" s="531"/>
      <c r="O96" s="531"/>
      <c r="P96" s="531"/>
      <c r="Q96" s="531"/>
      <c r="R96" s="531"/>
      <c r="S96" s="531"/>
      <c r="T96" s="531"/>
      <c r="U96" s="531"/>
      <c r="V96" s="531"/>
      <c r="W96" s="531"/>
      <c r="X96" s="531"/>
      <c r="Y96" s="532"/>
      <c r="Z96" s="537"/>
      <c r="AA96" s="538"/>
      <c r="AB96" s="538"/>
      <c r="AC96" s="538"/>
      <c r="AD96" s="538"/>
      <c r="AE96" s="538"/>
      <c r="AF96" s="538"/>
      <c r="AG96" s="531"/>
      <c r="AH96" s="531"/>
      <c r="AI96" s="531"/>
      <c r="AJ96" s="531"/>
      <c r="AK96" s="531"/>
      <c r="AL96" s="531"/>
      <c r="AM96" s="531"/>
      <c r="AN96" s="531"/>
      <c r="AO96" s="531"/>
      <c r="AP96" s="531"/>
      <c r="AQ96" s="531"/>
      <c r="AR96" s="531"/>
      <c r="AS96" s="531"/>
      <c r="AT96" s="531"/>
      <c r="AU96" s="531"/>
      <c r="AV96" s="531"/>
      <c r="AW96" s="531"/>
      <c r="AX96" s="532"/>
    </row>
    <row r="97" spans="1:50" ht="15" customHeight="1" x14ac:dyDescent="0.25">
      <c r="A97" s="524"/>
      <c r="B97" s="525"/>
      <c r="C97" s="525"/>
      <c r="D97" s="525"/>
      <c r="E97" s="525"/>
      <c r="F97" s="525"/>
      <c r="G97" s="525"/>
      <c r="H97" s="526" t="str">
        <f>IF(A98="","",LOOKUP(A98,BoonRef!$A$2:$A$430,BoonRef!$C$2:$C$430))</f>
        <v/>
      </c>
      <c r="I97" s="526"/>
      <c r="J97" s="527"/>
      <c r="K97" s="527"/>
      <c r="L97" s="527"/>
      <c r="M97" s="527"/>
      <c r="N97" s="527"/>
      <c r="O97" s="527"/>
      <c r="P97" s="527"/>
      <c r="Q97" s="527"/>
      <c r="R97" s="527"/>
      <c r="S97" s="527"/>
      <c r="T97" s="527"/>
      <c r="U97" s="527"/>
      <c r="V97" s="527"/>
      <c r="W97" s="527"/>
      <c r="X97" s="527"/>
      <c r="Y97" s="528"/>
      <c r="Z97" s="524"/>
      <c r="AA97" s="525"/>
      <c r="AB97" s="525"/>
      <c r="AC97" s="525"/>
      <c r="AD97" s="525"/>
      <c r="AE97" s="526" t="str">
        <f>IF(Z98="","",LOOKUP(Z98,KanckRef!$A$2:$A$170,KanckRef!$E$2:$E$170))</f>
        <v/>
      </c>
      <c r="AF97" s="526"/>
      <c r="AG97" s="527"/>
      <c r="AH97" s="527"/>
      <c r="AI97" s="527"/>
      <c r="AJ97" s="527"/>
      <c r="AK97" s="527"/>
      <c r="AL97" s="527"/>
      <c r="AM97" s="527"/>
      <c r="AN97" s="527"/>
      <c r="AO97" s="527"/>
      <c r="AP97" s="527"/>
      <c r="AQ97" s="527"/>
      <c r="AR97" s="527"/>
      <c r="AS97" s="527"/>
      <c r="AT97" s="527"/>
      <c r="AU97" s="527"/>
      <c r="AV97" s="527"/>
      <c r="AW97" s="527"/>
      <c r="AX97" s="528"/>
    </row>
    <row r="98" spans="1:50" ht="15" customHeight="1" x14ac:dyDescent="0.25">
      <c r="A98" s="533"/>
      <c r="B98" s="534"/>
      <c r="C98" s="534"/>
      <c r="D98" s="534"/>
      <c r="E98" s="534"/>
      <c r="F98" s="534"/>
      <c r="G98" s="534"/>
      <c r="H98" s="535" t="str">
        <f>IF(A98="","",LOOKUP(A98,BoonRef!$A$2:$A$430,BoonRef!$P$2:$P$430))</f>
        <v/>
      </c>
      <c r="I98" s="535"/>
      <c r="J98" s="529"/>
      <c r="K98" s="529"/>
      <c r="L98" s="529"/>
      <c r="M98" s="529"/>
      <c r="N98" s="529"/>
      <c r="O98" s="529"/>
      <c r="P98" s="529"/>
      <c r="Q98" s="529"/>
      <c r="R98" s="529"/>
      <c r="S98" s="529"/>
      <c r="T98" s="529"/>
      <c r="U98" s="529"/>
      <c r="V98" s="529"/>
      <c r="W98" s="529"/>
      <c r="X98" s="529"/>
      <c r="Y98" s="530"/>
      <c r="Z98" s="533"/>
      <c r="AA98" s="534"/>
      <c r="AB98" s="534"/>
      <c r="AC98" s="534"/>
      <c r="AD98" s="534"/>
      <c r="AE98" s="535" t="str">
        <f>IF(Z98="","",LOOKUP(Z98,KanckRef!$A$2:$A$170,KanckRef!$F$2:$F$170))</f>
        <v/>
      </c>
      <c r="AF98" s="535"/>
      <c r="AG98" s="529"/>
      <c r="AH98" s="529"/>
      <c r="AI98" s="529"/>
      <c r="AJ98" s="529"/>
      <c r="AK98" s="529"/>
      <c r="AL98" s="529"/>
      <c r="AM98" s="529"/>
      <c r="AN98" s="529"/>
      <c r="AO98" s="529"/>
      <c r="AP98" s="529"/>
      <c r="AQ98" s="529"/>
      <c r="AR98" s="529"/>
      <c r="AS98" s="529"/>
      <c r="AT98" s="529"/>
      <c r="AU98" s="529"/>
      <c r="AV98" s="529"/>
      <c r="AW98" s="529"/>
      <c r="AX98" s="530"/>
    </row>
    <row r="99" spans="1:50" ht="15" customHeight="1" x14ac:dyDescent="0.25">
      <c r="A99" s="533"/>
      <c r="B99" s="534"/>
      <c r="C99" s="534"/>
      <c r="D99" s="534"/>
      <c r="E99" s="534"/>
      <c r="F99" s="534"/>
      <c r="G99" s="534"/>
      <c r="H99" s="535" t="str">
        <f>IF(A98="","",LOOKUP(A98,BoonRef!$A$2:$A$430,BoonRef!$Q$2:$Q$430))</f>
        <v/>
      </c>
      <c r="I99" s="535"/>
      <c r="J99" s="529"/>
      <c r="K99" s="529"/>
      <c r="L99" s="529"/>
      <c r="M99" s="529"/>
      <c r="N99" s="529"/>
      <c r="O99" s="529"/>
      <c r="P99" s="529"/>
      <c r="Q99" s="529"/>
      <c r="R99" s="529"/>
      <c r="S99" s="529"/>
      <c r="T99" s="529"/>
      <c r="U99" s="529"/>
      <c r="V99" s="529"/>
      <c r="W99" s="529"/>
      <c r="X99" s="529"/>
      <c r="Y99" s="530"/>
      <c r="Z99" s="533"/>
      <c r="AA99" s="534"/>
      <c r="AB99" s="534"/>
      <c r="AC99" s="534"/>
      <c r="AD99" s="534"/>
      <c r="AE99" s="535"/>
      <c r="AF99" s="535"/>
      <c r="AG99" s="529"/>
      <c r="AH99" s="529"/>
      <c r="AI99" s="529"/>
      <c r="AJ99" s="529"/>
      <c r="AK99" s="529"/>
      <c r="AL99" s="529"/>
      <c r="AM99" s="529"/>
      <c r="AN99" s="529"/>
      <c r="AO99" s="529"/>
      <c r="AP99" s="529"/>
      <c r="AQ99" s="529"/>
      <c r="AR99" s="529"/>
      <c r="AS99" s="529"/>
      <c r="AT99" s="529"/>
      <c r="AU99" s="529"/>
      <c r="AV99" s="529"/>
      <c r="AW99" s="529"/>
      <c r="AX99" s="530"/>
    </row>
    <row r="100" spans="1:50" ht="15" customHeight="1" x14ac:dyDescent="0.25">
      <c r="A100" s="536" t="str">
        <f>IF(A98="","",LOOKUP(A98,BoonRef!$A$2:$A$430,BoonRef!$O$2:$O$430))</f>
        <v/>
      </c>
      <c r="B100" s="535"/>
      <c r="C100" s="535"/>
      <c r="D100" s="535"/>
      <c r="E100" s="535"/>
      <c r="F100" s="535"/>
      <c r="G100" s="535"/>
      <c r="H100" s="535"/>
      <c r="I100" s="535"/>
      <c r="J100" s="529"/>
      <c r="K100" s="529"/>
      <c r="L100" s="529"/>
      <c r="M100" s="529"/>
      <c r="N100" s="529"/>
      <c r="O100" s="529"/>
      <c r="P100" s="529"/>
      <c r="Q100" s="529"/>
      <c r="R100" s="529"/>
      <c r="S100" s="529"/>
      <c r="T100" s="529"/>
      <c r="U100" s="529"/>
      <c r="V100" s="529"/>
      <c r="W100" s="529"/>
      <c r="X100" s="529"/>
      <c r="Y100" s="530"/>
      <c r="Z100" s="536" t="str">
        <f>IF(Z98="","",LOOKUP(Z98,KanckRef!$A$2:$A$170,KanckRef!$D$2:$D$170))</f>
        <v/>
      </c>
      <c r="AA100" s="535"/>
      <c r="AB100" s="535"/>
      <c r="AC100" s="535"/>
      <c r="AD100" s="535"/>
      <c r="AE100" s="535"/>
      <c r="AF100" s="535"/>
      <c r="AG100" s="529"/>
      <c r="AH100" s="529"/>
      <c r="AI100" s="529"/>
      <c r="AJ100" s="529"/>
      <c r="AK100" s="529"/>
      <c r="AL100" s="529"/>
      <c r="AM100" s="529"/>
      <c r="AN100" s="529"/>
      <c r="AO100" s="529"/>
      <c r="AP100" s="529"/>
      <c r="AQ100" s="529"/>
      <c r="AR100" s="529"/>
      <c r="AS100" s="529"/>
      <c r="AT100" s="529"/>
      <c r="AU100" s="529"/>
      <c r="AV100" s="529"/>
      <c r="AW100" s="529"/>
      <c r="AX100" s="530"/>
    </row>
    <row r="101" spans="1:50" ht="15" customHeight="1" x14ac:dyDescent="0.25">
      <c r="A101" s="536" t="str">
        <f>IF(A98="","",LOOKUP(A98,BoonRef!$A$2:$A$430,BoonRef!$N$2:$N$430))</f>
        <v/>
      </c>
      <c r="B101" s="535"/>
      <c r="C101" s="535"/>
      <c r="D101" s="535"/>
      <c r="E101" s="535"/>
      <c r="F101" s="535"/>
      <c r="G101" s="535"/>
      <c r="H101" s="535"/>
      <c r="I101" s="535"/>
      <c r="J101" s="529"/>
      <c r="K101" s="529"/>
      <c r="L101" s="529"/>
      <c r="M101" s="529"/>
      <c r="N101" s="529"/>
      <c r="O101" s="529"/>
      <c r="P101" s="529"/>
      <c r="Q101" s="529"/>
      <c r="R101" s="529"/>
      <c r="S101" s="529"/>
      <c r="T101" s="529"/>
      <c r="U101" s="529"/>
      <c r="V101" s="529"/>
      <c r="W101" s="529"/>
      <c r="X101" s="529"/>
      <c r="Y101" s="530"/>
      <c r="Z101" s="536"/>
      <c r="AA101" s="535"/>
      <c r="AB101" s="535"/>
      <c r="AC101" s="535"/>
      <c r="AD101" s="535"/>
      <c r="AE101" s="535"/>
      <c r="AF101" s="535"/>
      <c r="AG101" s="529"/>
      <c r="AH101" s="529"/>
      <c r="AI101" s="529"/>
      <c r="AJ101" s="529"/>
      <c r="AK101" s="529"/>
      <c r="AL101" s="529"/>
      <c r="AM101" s="529"/>
      <c r="AN101" s="529"/>
      <c r="AO101" s="529"/>
      <c r="AP101" s="529"/>
      <c r="AQ101" s="529"/>
      <c r="AR101" s="529"/>
      <c r="AS101" s="529"/>
      <c r="AT101" s="529"/>
      <c r="AU101" s="529"/>
      <c r="AV101" s="529"/>
      <c r="AW101" s="529"/>
      <c r="AX101" s="530"/>
    </row>
    <row r="102" spans="1:50" ht="15" customHeight="1" thickBot="1" x14ac:dyDescent="0.3">
      <c r="A102" s="537"/>
      <c r="B102" s="538"/>
      <c r="C102" s="538"/>
      <c r="D102" s="538"/>
      <c r="E102" s="538"/>
      <c r="F102" s="538"/>
      <c r="G102" s="538"/>
      <c r="H102" s="538"/>
      <c r="I102" s="538"/>
      <c r="J102" s="531"/>
      <c r="K102" s="531"/>
      <c r="L102" s="531"/>
      <c r="M102" s="531"/>
      <c r="N102" s="531"/>
      <c r="O102" s="531"/>
      <c r="P102" s="531"/>
      <c r="Q102" s="531"/>
      <c r="R102" s="531"/>
      <c r="S102" s="531"/>
      <c r="T102" s="531"/>
      <c r="U102" s="531"/>
      <c r="V102" s="531"/>
      <c r="W102" s="531"/>
      <c r="X102" s="531"/>
      <c r="Y102" s="532"/>
      <c r="Z102" s="537"/>
      <c r="AA102" s="538"/>
      <c r="AB102" s="538"/>
      <c r="AC102" s="538"/>
      <c r="AD102" s="538"/>
      <c r="AE102" s="538"/>
      <c r="AF102" s="538"/>
      <c r="AG102" s="531"/>
      <c r="AH102" s="531"/>
      <c r="AI102" s="531"/>
      <c r="AJ102" s="531"/>
      <c r="AK102" s="531"/>
      <c r="AL102" s="531"/>
      <c r="AM102" s="531"/>
      <c r="AN102" s="531"/>
      <c r="AO102" s="531"/>
      <c r="AP102" s="531"/>
      <c r="AQ102" s="531"/>
      <c r="AR102" s="531"/>
      <c r="AS102" s="531"/>
      <c r="AT102" s="531"/>
      <c r="AU102" s="531"/>
      <c r="AV102" s="531"/>
      <c r="AW102" s="531"/>
      <c r="AX102" s="532"/>
    </row>
    <row r="103" spans="1:50" ht="15" customHeight="1" x14ac:dyDescent="0.25">
      <c r="A103" s="524"/>
      <c r="B103" s="525"/>
      <c r="C103" s="525"/>
      <c r="D103" s="525"/>
      <c r="E103" s="525"/>
      <c r="F103" s="525"/>
      <c r="G103" s="525"/>
      <c r="H103" s="526" t="str">
        <f>IF(A104="","",LOOKUP(A104,BoonRef!$A$2:$A$430,BoonRef!$C$2:$C$430))</f>
        <v/>
      </c>
      <c r="I103" s="526"/>
      <c r="J103" s="527"/>
      <c r="K103" s="527"/>
      <c r="L103" s="527"/>
      <c r="M103" s="527"/>
      <c r="N103" s="527"/>
      <c r="O103" s="527"/>
      <c r="P103" s="527"/>
      <c r="Q103" s="527"/>
      <c r="R103" s="527"/>
      <c r="S103" s="527"/>
      <c r="T103" s="527"/>
      <c r="U103" s="527"/>
      <c r="V103" s="527"/>
      <c r="W103" s="527"/>
      <c r="X103" s="527"/>
      <c r="Y103" s="528"/>
      <c r="Z103" s="524"/>
      <c r="AA103" s="525"/>
      <c r="AB103" s="525"/>
      <c r="AC103" s="525"/>
      <c r="AD103" s="525"/>
      <c r="AE103" s="526" t="str">
        <f>IF(Z104="","",LOOKUP(Z104,KanckRef!$A$2:$A$170,KanckRef!$E$2:$E$170))</f>
        <v/>
      </c>
      <c r="AF103" s="526"/>
      <c r="AG103" s="527"/>
      <c r="AH103" s="527"/>
      <c r="AI103" s="527"/>
      <c r="AJ103" s="527"/>
      <c r="AK103" s="527"/>
      <c r="AL103" s="527"/>
      <c r="AM103" s="527"/>
      <c r="AN103" s="527"/>
      <c r="AO103" s="527"/>
      <c r="AP103" s="527"/>
      <c r="AQ103" s="527"/>
      <c r="AR103" s="527"/>
      <c r="AS103" s="527"/>
      <c r="AT103" s="527"/>
      <c r="AU103" s="527"/>
      <c r="AV103" s="527"/>
      <c r="AW103" s="527"/>
      <c r="AX103" s="528"/>
    </row>
    <row r="104" spans="1:50" ht="15" customHeight="1" x14ac:dyDescent="0.25">
      <c r="A104" s="533"/>
      <c r="B104" s="534"/>
      <c r="C104" s="534"/>
      <c r="D104" s="534"/>
      <c r="E104" s="534"/>
      <c r="F104" s="534"/>
      <c r="G104" s="534"/>
      <c r="H104" s="535" t="str">
        <f>IF(A104="","",LOOKUP(A104,BoonRef!$A$2:$A$430,BoonRef!$P$2:$P$430))</f>
        <v/>
      </c>
      <c r="I104" s="535"/>
      <c r="J104" s="529"/>
      <c r="K104" s="529"/>
      <c r="L104" s="529"/>
      <c r="M104" s="529"/>
      <c r="N104" s="529"/>
      <c r="O104" s="529"/>
      <c r="P104" s="529"/>
      <c r="Q104" s="529"/>
      <c r="R104" s="529"/>
      <c r="S104" s="529"/>
      <c r="T104" s="529"/>
      <c r="U104" s="529"/>
      <c r="V104" s="529"/>
      <c r="W104" s="529"/>
      <c r="X104" s="529"/>
      <c r="Y104" s="530"/>
      <c r="Z104" s="533"/>
      <c r="AA104" s="534"/>
      <c r="AB104" s="534"/>
      <c r="AC104" s="534"/>
      <c r="AD104" s="534"/>
      <c r="AE104" s="535" t="str">
        <f>IF(Z104="","",LOOKUP(Z104,KanckRef!$A$2:$A$170,KanckRef!$F$2:$F$170))</f>
        <v/>
      </c>
      <c r="AF104" s="535"/>
      <c r="AG104" s="529"/>
      <c r="AH104" s="529"/>
      <c r="AI104" s="529"/>
      <c r="AJ104" s="529"/>
      <c r="AK104" s="529"/>
      <c r="AL104" s="529"/>
      <c r="AM104" s="529"/>
      <c r="AN104" s="529"/>
      <c r="AO104" s="529"/>
      <c r="AP104" s="529"/>
      <c r="AQ104" s="529"/>
      <c r="AR104" s="529"/>
      <c r="AS104" s="529"/>
      <c r="AT104" s="529"/>
      <c r="AU104" s="529"/>
      <c r="AV104" s="529"/>
      <c r="AW104" s="529"/>
      <c r="AX104" s="530"/>
    </row>
    <row r="105" spans="1:50" ht="15" customHeight="1" x14ac:dyDescent="0.25">
      <c r="A105" s="533"/>
      <c r="B105" s="534"/>
      <c r="C105" s="534"/>
      <c r="D105" s="534"/>
      <c r="E105" s="534"/>
      <c r="F105" s="534"/>
      <c r="G105" s="534"/>
      <c r="H105" s="535" t="str">
        <f>IF(A104="","",LOOKUP(A104,BoonRef!$A$2:$A$430,BoonRef!$Q$2:$Q$430))</f>
        <v/>
      </c>
      <c r="I105" s="535"/>
      <c r="J105" s="529"/>
      <c r="K105" s="529"/>
      <c r="L105" s="529"/>
      <c r="M105" s="529"/>
      <c r="N105" s="529"/>
      <c r="O105" s="529"/>
      <c r="P105" s="529"/>
      <c r="Q105" s="529"/>
      <c r="R105" s="529"/>
      <c r="S105" s="529"/>
      <c r="T105" s="529"/>
      <c r="U105" s="529"/>
      <c r="V105" s="529"/>
      <c r="W105" s="529"/>
      <c r="X105" s="529"/>
      <c r="Y105" s="530"/>
      <c r="Z105" s="533"/>
      <c r="AA105" s="534"/>
      <c r="AB105" s="534"/>
      <c r="AC105" s="534"/>
      <c r="AD105" s="534"/>
      <c r="AE105" s="535"/>
      <c r="AF105" s="535"/>
      <c r="AG105" s="529"/>
      <c r="AH105" s="529"/>
      <c r="AI105" s="529"/>
      <c r="AJ105" s="529"/>
      <c r="AK105" s="529"/>
      <c r="AL105" s="529"/>
      <c r="AM105" s="529"/>
      <c r="AN105" s="529"/>
      <c r="AO105" s="529"/>
      <c r="AP105" s="529"/>
      <c r="AQ105" s="529"/>
      <c r="AR105" s="529"/>
      <c r="AS105" s="529"/>
      <c r="AT105" s="529"/>
      <c r="AU105" s="529"/>
      <c r="AV105" s="529"/>
      <c r="AW105" s="529"/>
      <c r="AX105" s="530"/>
    </row>
    <row r="106" spans="1:50" ht="15" customHeight="1" x14ac:dyDescent="0.25">
      <c r="A106" s="536" t="str">
        <f>IF(A104="","",LOOKUP(A104,BoonRef!$A$2:$A$430,BoonRef!$O$2:$O$430))</f>
        <v/>
      </c>
      <c r="B106" s="535"/>
      <c r="C106" s="535"/>
      <c r="D106" s="535"/>
      <c r="E106" s="535"/>
      <c r="F106" s="535"/>
      <c r="G106" s="535"/>
      <c r="H106" s="535"/>
      <c r="I106" s="535"/>
      <c r="J106" s="529"/>
      <c r="K106" s="529"/>
      <c r="L106" s="529"/>
      <c r="M106" s="529"/>
      <c r="N106" s="529"/>
      <c r="O106" s="529"/>
      <c r="P106" s="529"/>
      <c r="Q106" s="529"/>
      <c r="R106" s="529"/>
      <c r="S106" s="529"/>
      <c r="T106" s="529"/>
      <c r="U106" s="529"/>
      <c r="V106" s="529"/>
      <c r="W106" s="529"/>
      <c r="X106" s="529"/>
      <c r="Y106" s="530"/>
      <c r="Z106" s="536" t="str">
        <f>IF(Z104="","",LOOKUP(Z104,KanckRef!$A$2:$A$170,KanckRef!$D$2:$D$170))</f>
        <v/>
      </c>
      <c r="AA106" s="535"/>
      <c r="AB106" s="535"/>
      <c r="AC106" s="535"/>
      <c r="AD106" s="535"/>
      <c r="AE106" s="535"/>
      <c r="AF106" s="535"/>
      <c r="AG106" s="529"/>
      <c r="AH106" s="529"/>
      <c r="AI106" s="529"/>
      <c r="AJ106" s="529"/>
      <c r="AK106" s="529"/>
      <c r="AL106" s="529"/>
      <c r="AM106" s="529"/>
      <c r="AN106" s="529"/>
      <c r="AO106" s="529"/>
      <c r="AP106" s="529"/>
      <c r="AQ106" s="529"/>
      <c r="AR106" s="529"/>
      <c r="AS106" s="529"/>
      <c r="AT106" s="529"/>
      <c r="AU106" s="529"/>
      <c r="AV106" s="529"/>
      <c r="AW106" s="529"/>
      <c r="AX106" s="530"/>
    </row>
    <row r="107" spans="1:50" ht="15" customHeight="1" x14ac:dyDescent="0.25">
      <c r="A107" s="536" t="str">
        <f>IF(A104="","",LOOKUP(A104,BoonRef!$A$2:$A$430,BoonRef!$N$2:$N$430))</f>
        <v/>
      </c>
      <c r="B107" s="535"/>
      <c r="C107" s="535"/>
      <c r="D107" s="535"/>
      <c r="E107" s="535"/>
      <c r="F107" s="535"/>
      <c r="G107" s="535"/>
      <c r="H107" s="535"/>
      <c r="I107" s="535"/>
      <c r="J107" s="529"/>
      <c r="K107" s="529"/>
      <c r="L107" s="529"/>
      <c r="M107" s="529"/>
      <c r="N107" s="529"/>
      <c r="O107" s="529"/>
      <c r="P107" s="529"/>
      <c r="Q107" s="529"/>
      <c r="R107" s="529"/>
      <c r="S107" s="529"/>
      <c r="T107" s="529"/>
      <c r="U107" s="529"/>
      <c r="V107" s="529"/>
      <c r="W107" s="529"/>
      <c r="X107" s="529"/>
      <c r="Y107" s="530"/>
      <c r="Z107" s="536"/>
      <c r="AA107" s="535"/>
      <c r="AB107" s="535"/>
      <c r="AC107" s="535"/>
      <c r="AD107" s="535"/>
      <c r="AE107" s="535"/>
      <c r="AF107" s="535"/>
      <c r="AG107" s="529"/>
      <c r="AH107" s="529"/>
      <c r="AI107" s="529"/>
      <c r="AJ107" s="529"/>
      <c r="AK107" s="529"/>
      <c r="AL107" s="529"/>
      <c r="AM107" s="529"/>
      <c r="AN107" s="529"/>
      <c r="AO107" s="529"/>
      <c r="AP107" s="529"/>
      <c r="AQ107" s="529"/>
      <c r="AR107" s="529"/>
      <c r="AS107" s="529"/>
      <c r="AT107" s="529"/>
      <c r="AU107" s="529"/>
      <c r="AV107" s="529"/>
      <c r="AW107" s="529"/>
      <c r="AX107" s="530"/>
    </row>
    <row r="108" spans="1:50" ht="15" customHeight="1" thickBot="1" x14ac:dyDescent="0.3">
      <c r="A108" s="537"/>
      <c r="B108" s="538"/>
      <c r="C108" s="538"/>
      <c r="D108" s="538"/>
      <c r="E108" s="538"/>
      <c r="F108" s="538"/>
      <c r="G108" s="538"/>
      <c r="H108" s="538"/>
      <c r="I108" s="538"/>
      <c r="J108" s="531"/>
      <c r="K108" s="531"/>
      <c r="L108" s="531"/>
      <c r="M108" s="531"/>
      <c r="N108" s="531"/>
      <c r="O108" s="531"/>
      <c r="P108" s="531"/>
      <c r="Q108" s="531"/>
      <c r="R108" s="531"/>
      <c r="S108" s="531"/>
      <c r="T108" s="531"/>
      <c r="U108" s="531"/>
      <c r="V108" s="531"/>
      <c r="W108" s="531"/>
      <c r="X108" s="531"/>
      <c r="Y108" s="532"/>
      <c r="Z108" s="537"/>
      <c r="AA108" s="538"/>
      <c r="AB108" s="538"/>
      <c r="AC108" s="538"/>
      <c r="AD108" s="538"/>
      <c r="AE108" s="538"/>
      <c r="AF108" s="538"/>
      <c r="AG108" s="531"/>
      <c r="AH108" s="531"/>
      <c r="AI108" s="531"/>
      <c r="AJ108" s="531"/>
      <c r="AK108" s="531"/>
      <c r="AL108" s="531"/>
      <c r="AM108" s="531"/>
      <c r="AN108" s="531"/>
      <c r="AO108" s="531"/>
      <c r="AP108" s="531"/>
      <c r="AQ108" s="531"/>
      <c r="AR108" s="531"/>
      <c r="AS108" s="531"/>
      <c r="AT108" s="531"/>
      <c r="AU108" s="531"/>
      <c r="AV108" s="531"/>
      <c r="AW108" s="531"/>
      <c r="AX108" s="532"/>
    </row>
    <row r="109" spans="1:50" ht="15" customHeight="1" x14ac:dyDescent="0.25">
      <c r="A109" s="524"/>
      <c r="B109" s="525"/>
      <c r="C109" s="525"/>
      <c r="D109" s="525"/>
      <c r="E109" s="525"/>
      <c r="F109" s="525"/>
      <c r="G109" s="525"/>
      <c r="H109" s="526" t="str">
        <f>IF(A110="","",LOOKUP(A110,BoonRef!$A$2:$A$430,BoonRef!$C$2:$C$430))</f>
        <v/>
      </c>
      <c r="I109" s="526"/>
      <c r="J109" s="527"/>
      <c r="K109" s="527"/>
      <c r="L109" s="527"/>
      <c r="M109" s="527"/>
      <c r="N109" s="527"/>
      <c r="O109" s="527"/>
      <c r="P109" s="527"/>
      <c r="Q109" s="527"/>
      <c r="R109" s="527"/>
      <c r="S109" s="527"/>
      <c r="T109" s="527"/>
      <c r="U109" s="527"/>
      <c r="V109" s="527"/>
      <c r="W109" s="527"/>
      <c r="X109" s="527"/>
      <c r="Y109" s="528"/>
      <c r="Z109" s="524"/>
      <c r="AA109" s="525"/>
      <c r="AB109" s="525"/>
      <c r="AC109" s="525"/>
      <c r="AD109" s="525"/>
      <c r="AE109" s="526" t="str">
        <f>IF(Z110="","",LOOKUP(Z110,KanckRef!$A$2:$A$170,KanckRef!$E$2:$E$170))</f>
        <v/>
      </c>
      <c r="AF109" s="526"/>
      <c r="AG109" s="527"/>
      <c r="AH109" s="527"/>
      <c r="AI109" s="527"/>
      <c r="AJ109" s="527"/>
      <c r="AK109" s="527"/>
      <c r="AL109" s="527"/>
      <c r="AM109" s="527"/>
      <c r="AN109" s="527"/>
      <c r="AO109" s="527"/>
      <c r="AP109" s="527"/>
      <c r="AQ109" s="527"/>
      <c r="AR109" s="527"/>
      <c r="AS109" s="527"/>
      <c r="AT109" s="527"/>
      <c r="AU109" s="527"/>
      <c r="AV109" s="527"/>
      <c r="AW109" s="527"/>
      <c r="AX109" s="528"/>
    </row>
    <row r="110" spans="1:50" ht="15" customHeight="1" x14ac:dyDescent="0.25">
      <c r="A110" s="533"/>
      <c r="B110" s="534"/>
      <c r="C110" s="534"/>
      <c r="D110" s="534"/>
      <c r="E110" s="534"/>
      <c r="F110" s="534"/>
      <c r="G110" s="534"/>
      <c r="H110" s="535" t="str">
        <f>IF(A110="","",LOOKUP(A110,BoonRef!$A$2:$A$430,BoonRef!$P$2:$P$430))</f>
        <v/>
      </c>
      <c r="I110" s="535"/>
      <c r="J110" s="529"/>
      <c r="K110" s="529"/>
      <c r="L110" s="529"/>
      <c r="M110" s="529"/>
      <c r="N110" s="529"/>
      <c r="O110" s="529"/>
      <c r="P110" s="529"/>
      <c r="Q110" s="529"/>
      <c r="R110" s="529"/>
      <c r="S110" s="529"/>
      <c r="T110" s="529"/>
      <c r="U110" s="529"/>
      <c r="V110" s="529"/>
      <c r="W110" s="529"/>
      <c r="X110" s="529"/>
      <c r="Y110" s="530"/>
      <c r="Z110" s="533"/>
      <c r="AA110" s="534"/>
      <c r="AB110" s="534"/>
      <c r="AC110" s="534"/>
      <c r="AD110" s="534"/>
      <c r="AE110" s="535" t="str">
        <f>IF(Z110="","",LOOKUP(Z110,KanckRef!$A$2:$A$170,KanckRef!$F$2:$F$170))</f>
        <v/>
      </c>
      <c r="AF110" s="535"/>
      <c r="AG110" s="529"/>
      <c r="AH110" s="529"/>
      <c r="AI110" s="529"/>
      <c r="AJ110" s="529"/>
      <c r="AK110" s="529"/>
      <c r="AL110" s="529"/>
      <c r="AM110" s="529"/>
      <c r="AN110" s="529"/>
      <c r="AO110" s="529"/>
      <c r="AP110" s="529"/>
      <c r="AQ110" s="529"/>
      <c r="AR110" s="529"/>
      <c r="AS110" s="529"/>
      <c r="AT110" s="529"/>
      <c r="AU110" s="529"/>
      <c r="AV110" s="529"/>
      <c r="AW110" s="529"/>
      <c r="AX110" s="530"/>
    </row>
    <row r="111" spans="1:50" ht="15" customHeight="1" x14ac:dyDescent="0.25">
      <c r="A111" s="533"/>
      <c r="B111" s="534"/>
      <c r="C111" s="534"/>
      <c r="D111" s="534"/>
      <c r="E111" s="534"/>
      <c r="F111" s="534"/>
      <c r="G111" s="534"/>
      <c r="H111" s="535" t="str">
        <f>IF(A110="","",LOOKUP(A110,BoonRef!$A$2:$A$430,BoonRef!$Q$2:$Q$430))</f>
        <v/>
      </c>
      <c r="I111" s="535"/>
      <c r="J111" s="529"/>
      <c r="K111" s="529"/>
      <c r="L111" s="529"/>
      <c r="M111" s="529"/>
      <c r="N111" s="529"/>
      <c r="O111" s="529"/>
      <c r="P111" s="529"/>
      <c r="Q111" s="529"/>
      <c r="R111" s="529"/>
      <c r="S111" s="529"/>
      <c r="T111" s="529"/>
      <c r="U111" s="529"/>
      <c r="V111" s="529"/>
      <c r="W111" s="529"/>
      <c r="X111" s="529"/>
      <c r="Y111" s="530"/>
      <c r="Z111" s="533"/>
      <c r="AA111" s="534"/>
      <c r="AB111" s="534"/>
      <c r="AC111" s="534"/>
      <c r="AD111" s="534"/>
      <c r="AE111" s="535"/>
      <c r="AF111" s="535"/>
      <c r="AG111" s="529"/>
      <c r="AH111" s="529"/>
      <c r="AI111" s="529"/>
      <c r="AJ111" s="529"/>
      <c r="AK111" s="529"/>
      <c r="AL111" s="529"/>
      <c r="AM111" s="529"/>
      <c r="AN111" s="529"/>
      <c r="AO111" s="529"/>
      <c r="AP111" s="529"/>
      <c r="AQ111" s="529"/>
      <c r="AR111" s="529"/>
      <c r="AS111" s="529"/>
      <c r="AT111" s="529"/>
      <c r="AU111" s="529"/>
      <c r="AV111" s="529"/>
      <c r="AW111" s="529"/>
      <c r="AX111" s="530"/>
    </row>
    <row r="112" spans="1:50" ht="15" customHeight="1" x14ac:dyDescent="0.25">
      <c r="A112" s="536" t="str">
        <f>IF(A110="","",LOOKUP(A110,BoonRef!$A$2:$A$430,BoonRef!$O$2:$O$430))</f>
        <v/>
      </c>
      <c r="B112" s="535"/>
      <c r="C112" s="535"/>
      <c r="D112" s="535"/>
      <c r="E112" s="535"/>
      <c r="F112" s="535"/>
      <c r="G112" s="535"/>
      <c r="H112" s="535"/>
      <c r="I112" s="535"/>
      <c r="J112" s="529"/>
      <c r="K112" s="529"/>
      <c r="L112" s="529"/>
      <c r="M112" s="529"/>
      <c r="N112" s="529"/>
      <c r="O112" s="529"/>
      <c r="P112" s="529"/>
      <c r="Q112" s="529"/>
      <c r="R112" s="529"/>
      <c r="S112" s="529"/>
      <c r="T112" s="529"/>
      <c r="U112" s="529"/>
      <c r="V112" s="529"/>
      <c r="W112" s="529"/>
      <c r="X112" s="529"/>
      <c r="Y112" s="530"/>
      <c r="Z112" s="536" t="str">
        <f>IF(Z110="","",LOOKUP(Z110,KanckRef!$A$2:$A$170,KanckRef!$D$2:$D$170))</f>
        <v/>
      </c>
      <c r="AA112" s="535"/>
      <c r="AB112" s="535"/>
      <c r="AC112" s="535"/>
      <c r="AD112" s="535"/>
      <c r="AE112" s="535"/>
      <c r="AF112" s="535"/>
      <c r="AG112" s="529"/>
      <c r="AH112" s="529"/>
      <c r="AI112" s="529"/>
      <c r="AJ112" s="529"/>
      <c r="AK112" s="529"/>
      <c r="AL112" s="529"/>
      <c r="AM112" s="529"/>
      <c r="AN112" s="529"/>
      <c r="AO112" s="529"/>
      <c r="AP112" s="529"/>
      <c r="AQ112" s="529"/>
      <c r="AR112" s="529"/>
      <c r="AS112" s="529"/>
      <c r="AT112" s="529"/>
      <c r="AU112" s="529"/>
      <c r="AV112" s="529"/>
      <c r="AW112" s="529"/>
      <c r="AX112" s="530"/>
    </row>
    <row r="113" spans="1:50" ht="15" customHeight="1" x14ac:dyDescent="0.25">
      <c r="A113" s="536" t="str">
        <f>IF(A110="","",LOOKUP(A110,BoonRef!$A$2:$A$430,BoonRef!$N$2:$N$430))</f>
        <v/>
      </c>
      <c r="B113" s="535"/>
      <c r="C113" s="535"/>
      <c r="D113" s="535"/>
      <c r="E113" s="535"/>
      <c r="F113" s="535"/>
      <c r="G113" s="535"/>
      <c r="H113" s="535"/>
      <c r="I113" s="535"/>
      <c r="J113" s="529"/>
      <c r="K113" s="529"/>
      <c r="L113" s="529"/>
      <c r="M113" s="529"/>
      <c r="N113" s="529"/>
      <c r="O113" s="529"/>
      <c r="P113" s="529"/>
      <c r="Q113" s="529"/>
      <c r="R113" s="529"/>
      <c r="S113" s="529"/>
      <c r="T113" s="529"/>
      <c r="U113" s="529"/>
      <c r="V113" s="529"/>
      <c r="W113" s="529"/>
      <c r="X113" s="529"/>
      <c r="Y113" s="530"/>
      <c r="Z113" s="536"/>
      <c r="AA113" s="535"/>
      <c r="AB113" s="535"/>
      <c r="AC113" s="535"/>
      <c r="AD113" s="535"/>
      <c r="AE113" s="535"/>
      <c r="AF113" s="535"/>
      <c r="AG113" s="529"/>
      <c r="AH113" s="529"/>
      <c r="AI113" s="529"/>
      <c r="AJ113" s="529"/>
      <c r="AK113" s="529"/>
      <c r="AL113" s="529"/>
      <c r="AM113" s="529"/>
      <c r="AN113" s="529"/>
      <c r="AO113" s="529"/>
      <c r="AP113" s="529"/>
      <c r="AQ113" s="529"/>
      <c r="AR113" s="529"/>
      <c r="AS113" s="529"/>
      <c r="AT113" s="529"/>
      <c r="AU113" s="529"/>
      <c r="AV113" s="529"/>
      <c r="AW113" s="529"/>
      <c r="AX113" s="530"/>
    </row>
    <row r="114" spans="1:50" ht="15" customHeight="1" thickBot="1" x14ac:dyDescent="0.3">
      <c r="A114" s="537"/>
      <c r="B114" s="538"/>
      <c r="C114" s="538"/>
      <c r="D114" s="538"/>
      <c r="E114" s="538"/>
      <c r="F114" s="538"/>
      <c r="G114" s="538"/>
      <c r="H114" s="538"/>
      <c r="I114" s="538"/>
      <c r="J114" s="531"/>
      <c r="K114" s="531"/>
      <c r="L114" s="531"/>
      <c r="M114" s="531"/>
      <c r="N114" s="531"/>
      <c r="O114" s="531"/>
      <c r="P114" s="531"/>
      <c r="Q114" s="531"/>
      <c r="R114" s="531"/>
      <c r="S114" s="531"/>
      <c r="T114" s="531"/>
      <c r="U114" s="531"/>
      <c r="V114" s="531"/>
      <c r="W114" s="531"/>
      <c r="X114" s="531"/>
      <c r="Y114" s="532"/>
      <c r="Z114" s="537"/>
      <c r="AA114" s="538"/>
      <c r="AB114" s="538"/>
      <c r="AC114" s="538"/>
      <c r="AD114" s="538"/>
      <c r="AE114" s="538"/>
      <c r="AF114" s="538"/>
      <c r="AG114" s="531"/>
      <c r="AH114" s="531"/>
      <c r="AI114" s="531"/>
      <c r="AJ114" s="531"/>
      <c r="AK114" s="531"/>
      <c r="AL114" s="531"/>
      <c r="AM114" s="531"/>
      <c r="AN114" s="531"/>
      <c r="AO114" s="531"/>
      <c r="AP114" s="531"/>
      <c r="AQ114" s="531"/>
      <c r="AR114" s="531"/>
      <c r="AS114" s="531"/>
      <c r="AT114" s="531"/>
      <c r="AU114" s="531"/>
      <c r="AV114" s="531"/>
      <c r="AW114" s="531"/>
      <c r="AX114" s="532"/>
    </row>
    <row r="115" spans="1:50" ht="15" customHeight="1" x14ac:dyDescent="0.25">
      <c r="A115" s="524"/>
      <c r="B115" s="525"/>
      <c r="C115" s="525"/>
      <c r="D115" s="525"/>
      <c r="E115" s="525"/>
      <c r="F115" s="525"/>
      <c r="G115" s="525"/>
      <c r="H115" s="526" t="str">
        <f>IF(A116="","",LOOKUP(A116,BoonRef!$A$2:$A$430,BoonRef!$C$2:$C$430))</f>
        <v/>
      </c>
      <c r="I115" s="526"/>
      <c r="J115" s="527"/>
      <c r="K115" s="527"/>
      <c r="L115" s="527"/>
      <c r="M115" s="527"/>
      <c r="N115" s="527"/>
      <c r="O115" s="527"/>
      <c r="P115" s="527"/>
      <c r="Q115" s="527"/>
      <c r="R115" s="527"/>
      <c r="S115" s="527"/>
      <c r="T115" s="527"/>
      <c r="U115" s="527"/>
      <c r="V115" s="527"/>
      <c r="W115" s="527"/>
      <c r="X115" s="527"/>
      <c r="Y115" s="528"/>
      <c r="Z115" s="524"/>
      <c r="AA115" s="525"/>
      <c r="AB115" s="525"/>
      <c r="AC115" s="525"/>
      <c r="AD115" s="525"/>
      <c r="AE115" s="526" t="str">
        <f>IF(Z116="","",LOOKUP(Z116,KanckRef!$A$2:$A$170,KanckRef!$E$2:$E$170))</f>
        <v/>
      </c>
      <c r="AF115" s="526"/>
      <c r="AG115" s="527"/>
      <c r="AH115" s="527"/>
      <c r="AI115" s="527"/>
      <c r="AJ115" s="527"/>
      <c r="AK115" s="527"/>
      <c r="AL115" s="527"/>
      <c r="AM115" s="527"/>
      <c r="AN115" s="527"/>
      <c r="AO115" s="527"/>
      <c r="AP115" s="527"/>
      <c r="AQ115" s="527"/>
      <c r="AR115" s="527"/>
      <c r="AS115" s="527"/>
      <c r="AT115" s="527"/>
      <c r="AU115" s="527"/>
      <c r="AV115" s="527"/>
      <c r="AW115" s="527"/>
      <c r="AX115" s="528"/>
    </row>
    <row r="116" spans="1:50" ht="15" customHeight="1" x14ac:dyDescent="0.25">
      <c r="A116" s="533"/>
      <c r="B116" s="534"/>
      <c r="C116" s="534"/>
      <c r="D116" s="534"/>
      <c r="E116" s="534"/>
      <c r="F116" s="534"/>
      <c r="G116" s="534"/>
      <c r="H116" s="535" t="str">
        <f>IF(A116="","",LOOKUP(A116,BoonRef!$A$2:$A$430,BoonRef!$P$2:$P$430))</f>
        <v/>
      </c>
      <c r="I116" s="535"/>
      <c r="J116" s="529"/>
      <c r="K116" s="529"/>
      <c r="L116" s="529"/>
      <c r="M116" s="529"/>
      <c r="N116" s="529"/>
      <c r="O116" s="529"/>
      <c r="P116" s="529"/>
      <c r="Q116" s="529"/>
      <c r="R116" s="529"/>
      <c r="S116" s="529"/>
      <c r="T116" s="529"/>
      <c r="U116" s="529"/>
      <c r="V116" s="529"/>
      <c r="W116" s="529"/>
      <c r="X116" s="529"/>
      <c r="Y116" s="530"/>
      <c r="Z116" s="533"/>
      <c r="AA116" s="534"/>
      <c r="AB116" s="534"/>
      <c r="AC116" s="534"/>
      <c r="AD116" s="534"/>
      <c r="AE116" s="535" t="str">
        <f>IF(Z116="","",LOOKUP(Z116,KanckRef!$A$2:$A$170,KanckRef!$F$2:$F$170))</f>
        <v/>
      </c>
      <c r="AF116" s="535"/>
      <c r="AG116" s="529"/>
      <c r="AH116" s="529"/>
      <c r="AI116" s="529"/>
      <c r="AJ116" s="529"/>
      <c r="AK116" s="529"/>
      <c r="AL116" s="529"/>
      <c r="AM116" s="529"/>
      <c r="AN116" s="529"/>
      <c r="AO116" s="529"/>
      <c r="AP116" s="529"/>
      <c r="AQ116" s="529"/>
      <c r="AR116" s="529"/>
      <c r="AS116" s="529"/>
      <c r="AT116" s="529"/>
      <c r="AU116" s="529"/>
      <c r="AV116" s="529"/>
      <c r="AW116" s="529"/>
      <c r="AX116" s="530"/>
    </row>
    <row r="117" spans="1:50" ht="15" customHeight="1" x14ac:dyDescent="0.25">
      <c r="A117" s="533"/>
      <c r="B117" s="534"/>
      <c r="C117" s="534"/>
      <c r="D117" s="534"/>
      <c r="E117" s="534"/>
      <c r="F117" s="534"/>
      <c r="G117" s="534"/>
      <c r="H117" s="535" t="str">
        <f>IF(A116="","",LOOKUP(A116,BoonRef!$A$2:$A$430,BoonRef!$Q$2:$Q$430))</f>
        <v/>
      </c>
      <c r="I117" s="535"/>
      <c r="J117" s="529"/>
      <c r="K117" s="529"/>
      <c r="L117" s="529"/>
      <c r="M117" s="529"/>
      <c r="N117" s="529"/>
      <c r="O117" s="529"/>
      <c r="P117" s="529"/>
      <c r="Q117" s="529"/>
      <c r="R117" s="529"/>
      <c r="S117" s="529"/>
      <c r="T117" s="529"/>
      <c r="U117" s="529"/>
      <c r="V117" s="529"/>
      <c r="W117" s="529"/>
      <c r="X117" s="529"/>
      <c r="Y117" s="530"/>
      <c r="Z117" s="533"/>
      <c r="AA117" s="534"/>
      <c r="AB117" s="534"/>
      <c r="AC117" s="534"/>
      <c r="AD117" s="534"/>
      <c r="AE117" s="535"/>
      <c r="AF117" s="535"/>
      <c r="AG117" s="529"/>
      <c r="AH117" s="529"/>
      <c r="AI117" s="529"/>
      <c r="AJ117" s="529"/>
      <c r="AK117" s="529"/>
      <c r="AL117" s="529"/>
      <c r="AM117" s="529"/>
      <c r="AN117" s="529"/>
      <c r="AO117" s="529"/>
      <c r="AP117" s="529"/>
      <c r="AQ117" s="529"/>
      <c r="AR117" s="529"/>
      <c r="AS117" s="529"/>
      <c r="AT117" s="529"/>
      <c r="AU117" s="529"/>
      <c r="AV117" s="529"/>
      <c r="AW117" s="529"/>
      <c r="AX117" s="530"/>
    </row>
    <row r="118" spans="1:50" ht="15" customHeight="1" x14ac:dyDescent="0.25">
      <c r="A118" s="536" t="str">
        <f>IF(A116="","",LOOKUP(A116,BoonRef!$A$2:$A$430,BoonRef!$O$2:$O$430))</f>
        <v/>
      </c>
      <c r="B118" s="535"/>
      <c r="C118" s="535"/>
      <c r="D118" s="535"/>
      <c r="E118" s="535"/>
      <c r="F118" s="535"/>
      <c r="G118" s="535"/>
      <c r="H118" s="535"/>
      <c r="I118" s="535"/>
      <c r="J118" s="529"/>
      <c r="K118" s="529"/>
      <c r="L118" s="529"/>
      <c r="M118" s="529"/>
      <c r="N118" s="529"/>
      <c r="O118" s="529"/>
      <c r="P118" s="529"/>
      <c r="Q118" s="529"/>
      <c r="R118" s="529"/>
      <c r="S118" s="529"/>
      <c r="T118" s="529"/>
      <c r="U118" s="529"/>
      <c r="V118" s="529"/>
      <c r="W118" s="529"/>
      <c r="X118" s="529"/>
      <c r="Y118" s="530"/>
      <c r="Z118" s="536" t="str">
        <f>IF(Z116="","",LOOKUP(Z116,KanckRef!$A$2:$A$170,KanckRef!$D$2:$D$170))</f>
        <v/>
      </c>
      <c r="AA118" s="535"/>
      <c r="AB118" s="535"/>
      <c r="AC118" s="535"/>
      <c r="AD118" s="535"/>
      <c r="AE118" s="535"/>
      <c r="AF118" s="535"/>
      <c r="AG118" s="529"/>
      <c r="AH118" s="529"/>
      <c r="AI118" s="529"/>
      <c r="AJ118" s="529"/>
      <c r="AK118" s="529"/>
      <c r="AL118" s="529"/>
      <c r="AM118" s="529"/>
      <c r="AN118" s="529"/>
      <c r="AO118" s="529"/>
      <c r="AP118" s="529"/>
      <c r="AQ118" s="529"/>
      <c r="AR118" s="529"/>
      <c r="AS118" s="529"/>
      <c r="AT118" s="529"/>
      <c r="AU118" s="529"/>
      <c r="AV118" s="529"/>
      <c r="AW118" s="529"/>
      <c r="AX118" s="530"/>
    </row>
    <row r="119" spans="1:50" ht="15" customHeight="1" x14ac:dyDescent="0.25">
      <c r="A119" s="536" t="str">
        <f>IF(A116="","",LOOKUP(A116,BoonRef!$A$2:$A$430,BoonRef!$N$2:$N$430))</f>
        <v/>
      </c>
      <c r="B119" s="535"/>
      <c r="C119" s="535"/>
      <c r="D119" s="535"/>
      <c r="E119" s="535"/>
      <c r="F119" s="535"/>
      <c r="G119" s="535"/>
      <c r="H119" s="535"/>
      <c r="I119" s="535"/>
      <c r="J119" s="529"/>
      <c r="K119" s="529"/>
      <c r="L119" s="529"/>
      <c r="M119" s="529"/>
      <c r="N119" s="529"/>
      <c r="O119" s="529"/>
      <c r="P119" s="529"/>
      <c r="Q119" s="529"/>
      <c r="R119" s="529"/>
      <c r="S119" s="529"/>
      <c r="T119" s="529"/>
      <c r="U119" s="529"/>
      <c r="V119" s="529"/>
      <c r="W119" s="529"/>
      <c r="X119" s="529"/>
      <c r="Y119" s="530"/>
      <c r="Z119" s="536"/>
      <c r="AA119" s="535"/>
      <c r="AB119" s="535"/>
      <c r="AC119" s="535"/>
      <c r="AD119" s="535"/>
      <c r="AE119" s="535"/>
      <c r="AF119" s="535"/>
      <c r="AG119" s="529"/>
      <c r="AH119" s="529"/>
      <c r="AI119" s="529"/>
      <c r="AJ119" s="529"/>
      <c r="AK119" s="529"/>
      <c r="AL119" s="529"/>
      <c r="AM119" s="529"/>
      <c r="AN119" s="529"/>
      <c r="AO119" s="529"/>
      <c r="AP119" s="529"/>
      <c r="AQ119" s="529"/>
      <c r="AR119" s="529"/>
      <c r="AS119" s="529"/>
      <c r="AT119" s="529"/>
      <c r="AU119" s="529"/>
      <c r="AV119" s="529"/>
      <c r="AW119" s="529"/>
      <c r="AX119" s="530"/>
    </row>
    <row r="120" spans="1:50" ht="15" customHeight="1" thickBot="1" x14ac:dyDescent="0.3">
      <c r="A120" s="537"/>
      <c r="B120" s="538"/>
      <c r="C120" s="538"/>
      <c r="D120" s="538"/>
      <c r="E120" s="538"/>
      <c r="F120" s="538"/>
      <c r="G120" s="538"/>
      <c r="H120" s="538"/>
      <c r="I120" s="538"/>
      <c r="J120" s="531"/>
      <c r="K120" s="531"/>
      <c r="L120" s="531"/>
      <c r="M120" s="531"/>
      <c r="N120" s="531"/>
      <c r="O120" s="531"/>
      <c r="P120" s="531"/>
      <c r="Q120" s="531"/>
      <c r="R120" s="531"/>
      <c r="S120" s="531"/>
      <c r="T120" s="531"/>
      <c r="U120" s="531"/>
      <c r="V120" s="531"/>
      <c r="W120" s="531"/>
      <c r="X120" s="531"/>
      <c r="Y120" s="532"/>
      <c r="Z120" s="537"/>
      <c r="AA120" s="538"/>
      <c r="AB120" s="538"/>
      <c r="AC120" s="538"/>
      <c r="AD120" s="538"/>
      <c r="AE120" s="538"/>
      <c r="AF120" s="538"/>
      <c r="AG120" s="531"/>
      <c r="AH120" s="531"/>
      <c r="AI120" s="531"/>
      <c r="AJ120" s="531"/>
      <c r="AK120" s="531"/>
      <c r="AL120" s="531"/>
      <c r="AM120" s="531"/>
      <c r="AN120" s="531"/>
      <c r="AO120" s="531"/>
      <c r="AP120" s="531"/>
      <c r="AQ120" s="531"/>
      <c r="AR120" s="531"/>
      <c r="AS120" s="531"/>
      <c r="AT120" s="531"/>
      <c r="AU120" s="531"/>
      <c r="AV120" s="531"/>
      <c r="AW120" s="531"/>
      <c r="AX120" s="532"/>
    </row>
    <row r="121" spans="1:50" ht="15" customHeight="1" x14ac:dyDescent="0.25">
      <c r="A121" s="524"/>
      <c r="B121" s="525"/>
      <c r="C121" s="525"/>
      <c r="D121" s="525"/>
      <c r="E121" s="525"/>
      <c r="F121" s="525"/>
      <c r="G121" s="525"/>
      <c r="H121" s="526" t="str">
        <f>IF(A122="","",LOOKUP(A122,BoonRef!$A$2:$A$430,BoonRef!$C$2:$C$430))</f>
        <v/>
      </c>
      <c r="I121" s="526"/>
      <c r="J121" s="527"/>
      <c r="K121" s="527"/>
      <c r="L121" s="527"/>
      <c r="M121" s="527"/>
      <c r="N121" s="527"/>
      <c r="O121" s="527"/>
      <c r="P121" s="527"/>
      <c r="Q121" s="527"/>
      <c r="R121" s="527"/>
      <c r="S121" s="527"/>
      <c r="T121" s="527"/>
      <c r="U121" s="527"/>
      <c r="V121" s="527"/>
      <c r="W121" s="527"/>
      <c r="X121" s="527"/>
      <c r="Y121" s="528"/>
      <c r="Z121" s="524"/>
      <c r="AA121" s="525"/>
      <c r="AB121" s="525"/>
      <c r="AC121" s="525"/>
      <c r="AD121" s="525"/>
      <c r="AE121" s="526" t="str">
        <f>IF(Z122="","",LOOKUP(Z122,KanckRef!$A$2:$A$170,KanckRef!$E$2:$E$170))</f>
        <v/>
      </c>
      <c r="AF121" s="526"/>
      <c r="AG121" s="527"/>
      <c r="AH121" s="527"/>
      <c r="AI121" s="527"/>
      <c r="AJ121" s="527"/>
      <c r="AK121" s="527"/>
      <c r="AL121" s="527"/>
      <c r="AM121" s="527"/>
      <c r="AN121" s="527"/>
      <c r="AO121" s="527"/>
      <c r="AP121" s="527"/>
      <c r="AQ121" s="527"/>
      <c r="AR121" s="527"/>
      <c r="AS121" s="527"/>
      <c r="AT121" s="527"/>
      <c r="AU121" s="527"/>
      <c r="AV121" s="527"/>
      <c r="AW121" s="527"/>
      <c r="AX121" s="528"/>
    </row>
    <row r="122" spans="1:50" ht="15" customHeight="1" x14ac:dyDescent="0.25">
      <c r="A122" s="533"/>
      <c r="B122" s="534"/>
      <c r="C122" s="534"/>
      <c r="D122" s="534"/>
      <c r="E122" s="534"/>
      <c r="F122" s="534"/>
      <c r="G122" s="534"/>
      <c r="H122" s="535" t="str">
        <f>IF(A122="","",LOOKUP(A122,BoonRef!$A$2:$A$430,BoonRef!$P$2:$P$430))</f>
        <v/>
      </c>
      <c r="I122" s="535"/>
      <c r="J122" s="529"/>
      <c r="K122" s="529"/>
      <c r="L122" s="529"/>
      <c r="M122" s="529"/>
      <c r="N122" s="529"/>
      <c r="O122" s="529"/>
      <c r="P122" s="529"/>
      <c r="Q122" s="529"/>
      <c r="R122" s="529"/>
      <c r="S122" s="529"/>
      <c r="T122" s="529"/>
      <c r="U122" s="529"/>
      <c r="V122" s="529"/>
      <c r="W122" s="529"/>
      <c r="X122" s="529"/>
      <c r="Y122" s="530"/>
      <c r="Z122" s="533"/>
      <c r="AA122" s="534"/>
      <c r="AB122" s="534"/>
      <c r="AC122" s="534"/>
      <c r="AD122" s="534"/>
      <c r="AE122" s="535" t="str">
        <f>IF(Z122="","",LOOKUP(Z122,KanckRef!$A$2:$A$170,KanckRef!$F$2:$F$170))</f>
        <v/>
      </c>
      <c r="AF122" s="535"/>
      <c r="AG122" s="529"/>
      <c r="AH122" s="529"/>
      <c r="AI122" s="529"/>
      <c r="AJ122" s="529"/>
      <c r="AK122" s="529"/>
      <c r="AL122" s="529"/>
      <c r="AM122" s="529"/>
      <c r="AN122" s="529"/>
      <c r="AO122" s="529"/>
      <c r="AP122" s="529"/>
      <c r="AQ122" s="529"/>
      <c r="AR122" s="529"/>
      <c r="AS122" s="529"/>
      <c r="AT122" s="529"/>
      <c r="AU122" s="529"/>
      <c r="AV122" s="529"/>
      <c r="AW122" s="529"/>
      <c r="AX122" s="530"/>
    </row>
    <row r="123" spans="1:50" ht="15" customHeight="1" x14ac:dyDescent="0.25">
      <c r="A123" s="533"/>
      <c r="B123" s="534"/>
      <c r="C123" s="534"/>
      <c r="D123" s="534"/>
      <c r="E123" s="534"/>
      <c r="F123" s="534"/>
      <c r="G123" s="534"/>
      <c r="H123" s="535" t="str">
        <f>IF(A122="","",LOOKUP(A122,BoonRef!$A$2:$A$430,BoonRef!$Q$2:$Q$430))</f>
        <v/>
      </c>
      <c r="I123" s="535"/>
      <c r="J123" s="529"/>
      <c r="K123" s="529"/>
      <c r="L123" s="529"/>
      <c r="M123" s="529"/>
      <c r="N123" s="529"/>
      <c r="O123" s="529"/>
      <c r="P123" s="529"/>
      <c r="Q123" s="529"/>
      <c r="R123" s="529"/>
      <c r="S123" s="529"/>
      <c r="T123" s="529"/>
      <c r="U123" s="529"/>
      <c r="V123" s="529"/>
      <c r="W123" s="529"/>
      <c r="X123" s="529"/>
      <c r="Y123" s="530"/>
      <c r="Z123" s="533"/>
      <c r="AA123" s="534"/>
      <c r="AB123" s="534"/>
      <c r="AC123" s="534"/>
      <c r="AD123" s="534"/>
      <c r="AE123" s="535"/>
      <c r="AF123" s="535"/>
      <c r="AG123" s="529"/>
      <c r="AH123" s="529"/>
      <c r="AI123" s="529"/>
      <c r="AJ123" s="529"/>
      <c r="AK123" s="529"/>
      <c r="AL123" s="529"/>
      <c r="AM123" s="529"/>
      <c r="AN123" s="529"/>
      <c r="AO123" s="529"/>
      <c r="AP123" s="529"/>
      <c r="AQ123" s="529"/>
      <c r="AR123" s="529"/>
      <c r="AS123" s="529"/>
      <c r="AT123" s="529"/>
      <c r="AU123" s="529"/>
      <c r="AV123" s="529"/>
      <c r="AW123" s="529"/>
      <c r="AX123" s="530"/>
    </row>
    <row r="124" spans="1:50" ht="15" customHeight="1" x14ac:dyDescent="0.25">
      <c r="A124" s="536" t="str">
        <f>IF(A122="","",LOOKUP(A122,BoonRef!$A$2:$A$430,BoonRef!$O$2:$O$430))</f>
        <v/>
      </c>
      <c r="B124" s="535"/>
      <c r="C124" s="535"/>
      <c r="D124" s="535"/>
      <c r="E124" s="535"/>
      <c r="F124" s="535"/>
      <c r="G124" s="535"/>
      <c r="H124" s="535"/>
      <c r="I124" s="535"/>
      <c r="J124" s="529"/>
      <c r="K124" s="529"/>
      <c r="L124" s="529"/>
      <c r="M124" s="529"/>
      <c r="N124" s="529"/>
      <c r="O124" s="529"/>
      <c r="P124" s="529"/>
      <c r="Q124" s="529"/>
      <c r="R124" s="529"/>
      <c r="S124" s="529"/>
      <c r="T124" s="529"/>
      <c r="U124" s="529"/>
      <c r="V124" s="529"/>
      <c r="W124" s="529"/>
      <c r="X124" s="529"/>
      <c r="Y124" s="530"/>
      <c r="Z124" s="536" t="str">
        <f>IF(Z122="","",LOOKUP(Z122,KanckRef!$A$2:$A$170,KanckRef!$D$2:$D$170))</f>
        <v/>
      </c>
      <c r="AA124" s="535"/>
      <c r="AB124" s="535"/>
      <c r="AC124" s="535"/>
      <c r="AD124" s="535"/>
      <c r="AE124" s="535"/>
      <c r="AF124" s="535"/>
      <c r="AG124" s="529"/>
      <c r="AH124" s="529"/>
      <c r="AI124" s="529"/>
      <c r="AJ124" s="529"/>
      <c r="AK124" s="529"/>
      <c r="AL124" s="529"/>
      <c r="AM124" s="529"/>
      <c r="AN124" s="529"/>
      <c r="AO124" s="529"/>
      <c r="AP124" s="529"/>
      <c r="AQ124" s="529"/>
      <c r="AR124" s="529"/>
      <c r="AS124" s="529"/>
      <c r="AT124" s="529"/>
      <c r="AU124" s="529"/>
      <c r="AV124" s="529"/>
      <c r="AW124" s="529"/>
      <c r="AX124" s="530"/>
    </row>
    <row r="125" spans="1:50" ht="15" customHeight="1" x14ac:dyDescent="0.25">
      <c r="A125" s="536" t="str">
        <f>IF(A122="","",LOOKUP(A122,BoonRef!$A$2:$A$430,BoonRef!$N$2:$N$430))</f>
        <v/>
      </c>
      <c r="B125" s="535"/>
      <c r="C125" s="535"/>
      <c r="D125" s="535"/>
      <c r="E125" s="535"/>
      <c r="F125" s="535"/>
      <c r="G125" s="535"/>
      <c r="H125" s="535"/>
      <c r="I125" s="535"/>
      <c r="J125" s="529"/>
      <c r="K125" s="529"/>
      <c r="L125" s="529"/>
      <c r="M125" s="529"/>
      <c r="N125" s="529"/>
      <c r="O125" s="529"/>
      <c r="P125" s="529"/>
      <c r="Q125" s="529"/>
      <c r="R125" s="529"/>
      <c r="S125" s="529"/>
      <c r="T125" s="529"/>
      <c r="U125" s="529"/>
      <c r="V125" s="529"/>
      <c r="W125" s="529"/>
      <c r="X125" s="529"/>
      <c r="Y125" s="530"/>
      <c r="Z125" s="536"/>
      <c r="AA125" s="535"/>
      <c r="AB125" s="535"/>
      <c r="AC125" s="535"/>
      <c r="AD125" s="535"/>
      <c r="AE125" s="535"/>
      <c r="AF125" s="535"/>
      <c r="AG125" s="529"/>
      <c r="AH125" s="529"/>
      <c r="AI125" s="529"/>
      <c r="AJ125" s="529"/>
      <c r="AK125" s="529"/>
      <c r="AL125" s="529"/>
      <c r="AM125" s="529"/>
      <c r="AN125" s="529"/>
      <c r="AO125" s="529"/>
      <c r="AP125" s="529"/>
      <c r="AQ125" s="529"/>
      <c r="AR125" s="529"/>
      <c r="AS125" s="529"/>
      <c r="AT125" s="529"/>
      <c r="AU125" s="529"/>
      <c r="AV125" s="529"/>
      <c r="AW125" s="529"/>
      <c r="AX125" s="530"/>
    </row>
    <row r="126" spans="1:50" ht="15" customHeight="1" thickBot="1" x14ac:dyDescent="0.3">
      <c r="A126" s="537"/>
      <c r="B126" s="538"/>
      <c r="C126" s="538"/>
      <c r="D126" s="538"/>
      <c r="E126" s="538"/>
      <c r="F126" s="538"/>
      <c r="G126" s="538"/>
      <c r="H126" s="538"/>
      <c r="I126" s="538"/>
      <c r="J126" s="531"/>
      <c r="K126" s="531"/>
      <c r="L126" s="531"/>
      <c r="M126" s="531"/>
      <c r="N126" s="531"/>
      <c r="O126" s="531"/>
      <c r="P126" s="531"/>
      <c r="Q126" s="531"/>
      <c r="R126" s="531"/>
      <c r="S126" s="531"/>
      <c r="T126" s="531"/>
      <c r="U126" s="531"/>
      <c r="V126" s="531"/>
      <c r="W126" s="531"/>
      <c r="X126" s="531"/>
      <c r="Y126" s="532"/>
      <c r="Z126" s="537"/>
      <c r="AA126" s="538"/>
      <c r="AB126" s="538"/>
      <c r="AC126" s="538"/>
      <c r="AD126" s="538"/>
      <c r="AE126" s="538"/>
      <c r="AF126" s="538"/>
      <c r="AG126" s="531"/>
      <c r="AH126" s="531"/>
      <c r="AI126" s="531"/>
      <c r="AJ126" s="531"/>
      <c r="AK126" s="531"/>
      <c r="AL126" s="531"/>
      <c r="AM126" s="531"/>
      <c r="AN126" s="531"/>
      <c r="AO126" s="531"/>
      <c r="AP126" s="531"/>
      <c r="AQ126" s="531"/>
      <c r="AR126" s="531"/>
      <c r="AS126" s="531"/>
      <c r="AT126" s="531"/>
      <c r="AU126" s="531"/>
      <c r="AV126" s="531"/>
      <c r="AW126" s="531"/>
      <c r="AX126" s="532"/>
    </row>
    <row r="127" spans="1:50" ht="15" customHeight="1" x14ac:dyDescent="0.25">
      <c r="A127" s="524"/>
      <c r="B127" s="525"/>
      <c r="C127" s="525"/>
      <c r="D127" s="525"/>
      <c r="E127" s="525"/>
      <c r="F127" s="525"/>
      <c r="G127" s="525"/>
      <c r="H127" s="526" t="str">
        <f>IF(A128="","",LOOKUP(A128,BoonRef!$A$2:$A$430,BoonRef!$C$2:$C$430))</f>
        <v/>
      </c>
      <c r="I127" s="526"/>
      <c r="J127" s="527"/>
      <c r="K127" s="527"/>
      <c r="L127" s="527"/>
      <c r="M127" s="527"/>
      <c r="N127" s="527"/>
      <c r="O127" s="527"/>
      <c r="P127" s="527"/>
      <c r="Q127" s="527"/>
      <c r="R127" s="527"/>
      <c r="S127" s="527"/>
      <c r="T127" s="527"/>
      <c r="U127" s="527"/>
      <c r="V127" s="527"/>
      <c r="W127" s="527"/>
      <c r="X127" s="527"/>
      <c r="Y127" s="528"/>
      <c r="Z127" s="524"/>
      <c r="AA127" s="525"/>
      <c r="AB127" s="525"/>
      <c r="AC127" s="525"/>
      <c r="AD127" s="525"/>
      <c r="AE127" s="526" t="str">
        <f>IF(Z128="","",LOOKUP(Z128,KanckRef!$A$2:$A$170,KanckRef!$E$2:$E$170))</f>
        <v/>
      </c>
      <c r="AF127" s="526"/>
      <c r="AG127" s="527"/>
      <c r="AH127" s="527"/>
      <c r="AI127" s="527"/>
      <c r="AJ127" s="527"/>
      <c r="AK127" s="527"/>
      <c r="AL127" s="527"/>
      <c r="AM127" s="527"/>
      <c r="AN127" s="527"/>
      <c r="AO127" s="527"/>
      <c r="AP127" s="527"/>
      <c r="AQ127" s="527"/>
      <c r="AR127" s="527"/>
      <c r="AS127" s="527"/>
      <c r="AT127" s="527"/>
      <c r="AU127" s="527"/>
      <c r="AV127" s="527"/>
      <c r="AW127" s="527"/>
      <c r="AX127" s="528"/>
    </row>
    <row r="128" spans="1:50" ht="15" customHeight="1" x14ac:dyDescent="0.25">
      <c r="A128" s="533"/>
      <c r="B128" s="534"/>
      <c r="C128" s="534"/>
      <c r="D128" s="534"/>
      <c r="E128" s="534"/>
      <c r="F128" s="534"/>
      <c r="G128" s="534"/>
      <c r="H128" s="535" t="str">
        <f>IF(A128="","",LOOKUP(A128,BoonRef!$A$2:$A$430,BoonRef!$P$2:$P$430))</f>
        <v/>
      </c>
      <c r="I128" s="535"/>
      <c r="J128" s="529"/>
      <c r="K128" s="529"/>
      <c r="L128" s="529"/>
      <c r="M128" s="529"/>
      <c r="N128" s="529"/>
      <c r="O128" s="529"/>
      <c r="P128" s="529"/>
      <c r="Q128" s="529"/>
      <c r="R128" s="529"/>
      <c r="S128" s="529"/>
      <c r="T128" s="529"/>
      <c r="U128" s="529"/>
      <c r="V128" s="529"/>
      <c r="W128" s="529"/>
      <c r="X128" s="529"/>
      <c r="Y128" s="530"/>
      <c r="Z128" s="533"/>
      <c r="AA128" s="534"/>
      <c r="AB128" s="534"/>
      <c r="AC128" s="534"/>
      <c r="AD128" s="534"/>
      <c r="AE128" s="535" t="str">
        <f>IF(Z128="","",LOOKUP(Z128,KanckRef!$A$2:$A$170,KanckRef!$F$2:$F$170))</f>
        <v/>
      </c>
      <c r="AF128" s="535"/>
      <c r="AG128" s="529"/>
      <c r="AH128" s="529"/>
      <c r="AI128" s="529"/>
      <c r="AJ128" s="529"/>
      <c r="AK128" s="529"/>
      <c r="AL128" s="529"/>
      <c r="AM128" s="529"/>
      <c r="AN128" s="529"/>
      <c r="AO128" s="529"/>
      <c r="AP128" s="529"/>
      <c r="AQ128" s="529"/>
      <c r="AR128" s="529"/>
      <c r="AS128" s="529"/>
      <c r="AT128" s="529"/>
      <c r="AU128" s="529"/>
      <c r="AV128" s="529"/>
      <c r="AW128" s="529"/>
      <c r="AX128" s="530"/>
    </row>
    <row r="129" spans="1:50" ht="15" customHeight="1" x14ac:dyDescent="0.25">
      <c r="A129" s="533"/>
      <c r="B129" s="534"/>
      <c r="C129" s="534"/>
      <c r="D129" s="534"/>
      <c r="E129" s="534"/>
      <c r="F129" s="534"/>
      <c r="G129" s="534"/>
      <c r="H129" s="535" t="str">
        <f>IF(A128="","",LOOKUP(A128,BoonRef!$A$2:$A$430,BoonRef!$Q$2:$Q$430))</f>
        <v/>
      </c>
      <c r="I129" s="535"/>
      <c r="J129" s="529"/>
      <c r="K129" s="529"/>
      <c r="L129" s="529"/>
      <c r="M129" s="529"/>
      <c r="N129" s="529"/>
      <c r="O129" s="529"/>
      <c r="P129" s="529"/>
      <c r="Q129" s="529"/>
      <c r="R129" s="529"/>
      <c r="S129" s="529"/>
      <c r="T129" s="529"/>
      <c r="U129" s="529"/>
      <c r="V129" s="529"/>
      <c r="W129" s="529"/>
      <c r="X129" s="529"/>
      <c r="Y129" s="530"/>
      <c r="Z129" s="533"/>
      <c r="AA129" s="534"/>
      <c r="AB129" s="534"/>
      <c r="AC129" s="534"/>
      <c r="AD129" s="534"/>
      <c r="AE129" s="535"/>
      <c r="AF129" s="535"/>
      <c r="AG129" s="529"/>
      <c r="AH129" s="529"/>
      <c r="AI129" s="529"/>
      <c r="AJ129" s="529"/>
      <c r="AK129" s="529"/>
      <c r="AL129" s="529"/>
      <c r="AM129" s="529"/>
      <c r="AN129" s="529"/>
      <c r="AO129" s="529"/>
      <c r="AP129" s="529"/>
      <c r="AQ129" s="529"/>
      <c r="AR129" s="529"/>
      <c r="AS129" s="529"/>
      <c r="AT129" s="529"/>
      <c r="AU129" s="529"/>
      <c r="AV129" s="529"/>
      <c r="AW129" s="529"/>
      <c r="AX129" s="530"/>
    </row>
    <row r="130" spans="1:50" ht="15" customHeight="1" x14ac:dyDescent="0.25">
      <c r="A130" s="536" t="str">
        <f>IF(A128="","",LOOKUP(A128,BoonRef!$A$2:$A$430,BoonRef!$O$2:$O$430))</f>
        <v/>
      </c>
      <c r="B130" s="535"/>
      <c r="C130" s="535"/>
      <c r="D130" s="535"/>
      <c r="E130" s="535"/>
      <c r="F130" s="535"/>
      <c r="G130" s="535"/>
      <c r="H130" s="535"/>
      <c r="I130" s="535"/>
      <c r="J130" s="529"/>
      <c r="K130" s="529"/>
      <c r="L130" s="529"/>
      <c r="M130" s="529"/>
      <c r="N130" s="529"/>
      <c r="O130" s="529"/>
      <c r="P130" s="529"/>
      <c r="Q130" s="529"/>
      <c r="R130" s="529"/>
      <c r="S130" s="529"/>
      <c r="T130" s="529"/>
      <c r="U130" s="529"/>
      <c r="V130" s="529"/>
      <c r="W130" s="529"/>
      <c r="X130" s="529"/>
      <c r="Y130" s="530"/>
      <c r="Z130" s="536" t="str">
        <f>IF(Z128="","",LOOKUP(Z128,KanckRef!$A$2:$A$170,KanckRef!$D$2:$D$170))</f>
        <v/>
      </c>
      <c r="AA130" s="535"/>
      <c r="AB130" s="535"/>
      <c r="AC130" s="535"/>
      <c r="AD130" s="535"/>
      <c r="AE130" s="535"/>
      <c r="AF130" s="535"/>
      <c r="AG130" s="529"/>
      <c r="AH130" s="529"/>
      <c r="AI130" s="529"/>
      <c r="AJ130" s="529"/>
      <c r="AK130" s="529"/>
      <c r="AL130" s="529"/>
      <c r="AM130" s="529"/>
      <c r="AN130" s="529"/>
      <c r="AO130" s="529"/>
      <c r="AP130" s="529"/>
      <c r="AQ130" s="529"/>
      <c r="AR130" s="529"/>
      <c r="AS130" s="529"/>
      <c r="AT130" s="529"/>
      <c r="AU130" s="529"/>
      <c r="AV130" s="529"/>
      <c r="AW130" s="529"/>
      <c r="AX130" s="530"/>
    </row>
    <row r="131" spans="1:50" ht="15" customHeight="1" x14ac:dyDescent="0.25">
      <c r="A131" s="536" t="str">
        <f>IF(A128="","",LOOKUP(A128,BoonRef!$A$2:$A$430,BoonRef!$N$2:$N$430))</f>
        <v/>
      </c>
      <c r="B131" s="535"/>
      <c r="C131" s="535"/>
      <c r="D131" s="535"/>
      <c r="E131" s="535"/>
      <c r="F131" s="535"/>
      <c r="G131" s="535"/>
      <c r="H131" s="535"/>
      <c r="I131" s="535"/>
      <c r="J131" s="529"/>
      <c r="K131" s="529"/>
      <c r="L131" s="529"/>
      <c r="M131" s="529"/>
      <c r="N131" s="529"/>
      <c r="O131" s="529"/>
      <c r="P131" s="529"/>
      <c r="Q131" s="529"/>
      <c r="R131" s="529"/>
      <c r="S131" s="529"/>
      <c r="T131" s="529"/>
      <c r="U131" s="529"/>
      <c r="V131" s="529"/>
      <c r="W131" s="529"/>
      <c r="X131" s="529"/>
      <c r="Y131" s="530"/>
      <c r="Z131" s="536"/>
      <c r="AA131" s="535"/>
      <c r="AB131" s="535"/>
      <c r="AC131" s="535"/>
      <c r="AD131" s="535"/>
      <c r="AE131" s="535"/>
      <c r="AF131" s="535"/>
      <c r="AG131" s="529"/>
      <c r="AH131" s="529"/>
      <c r="AI131" s="529"/>
      <c r="AJ131" s="529"/>
      <c r="AK131" s="529"/>
      <c r="AL131" s="529"/>
      <c r="AM131" s="529"/>
      <c r="AN131" s="529"/>
      <c r="AO131" s="529"/>
      <c r="AP131" s="529"/>
      <c r="AQ131" s="529"/>
      <c r="AR131" s="529"/>
      <c r="AS131" s="529"/>
      <c r="AT131" s="529"/>
      <c r="AU131" s="529"/>
      <c r="AV131" s="529"/>
      <c r="AW131" s="529"/>
      <c r="AX131" s="530"/>
    </row>
    <row r="132" spans="1:50" ht="15" customHeight="1" thickBot="1" x14ac:dyDescent="0.3">
      <c r="A132" s="537"/>
      <c r="B132" s="538"/>
      <c r="C132" s="538"/>
      <c r="D132" s="538"/>
      <c r="E132" s="538"/>
      <c r="F132" s="538"/>
      <c r="G132" s="538"/>
      <c r="H132" s="538"/>
      <c r="I132" s="538"/>
      <c r="J132" s="531"/>
      <c r="K132" s="531"/>
      <c r="L132" s="531"/>
      <c r="M132" s="531"/>
      <c r="N132" s="531"/>
      <c r="O132" s="531"/>
      <c r="P132" s="531"/>
      <c r="Q132" s="531"/>
      <c r="R132" s="531"/>
      <c r="S132" s="531"/>
      <c r="T132" s="531"/>
      <c r="U132" s="531"/>
      <c r="V132" s="531"/>
      <c r="W132" s="531"/>
      <c r="X132" s="531"/>
      <c r="Y132" s="532"/>
      <c r="Z132" s="537"/>
      <c r="AA132" s="538"/>
      <c r="AB132" s="538"/>
      <c r="AC132" s="538"/>
      <c r="AD132" s="538"/>
      <c r="AE132" s="538"/>
      <c r="AF132" s="538"/>
      <c r="AG132" s="531"/>
      <c r="AH132" s="531"/>
      <c r="AI132" s="531"/>
      <c r="AJ132" s="531"/>
      <c r="AK132" s="531"/>
      <c r="AL132" s="531"/>
      <c r="AM132" s="531"/>
      <c r="AN132" s="531"/>
      <c r="AO132" s="531"/>
      <c r="AP132" s="531"/>
      <c r="AQ132" s="531"/>
      <c r="AR132" s="531"/>
      <c r="AS132" s="531"/>
      <c r="AT132" s="531"/>
      <c r="AU132" s="531"/>
      <c r="AV132" s="531"/>
      <c r="AW132" s="531"/>
      <c r="AX132" s="532"/>
    </row>
    <row r="133" spans="1:50" ht="15" customHeight="1" x14ac:dyDescent="0.25">
      <c r="A133" s="524"/>
      <c r="B133" s="525"/>
      <c r="C133" s="525"/>
      <c r="D133" s="525"/>
      <c r="E133" s="525"/>
      <c r="F133" s="525"/>
      <c r="G133" s="525"/>
      <c r="H133" s="526" t="str">
        <f>IF(A134="","",LOOKUP(A134,BoonRef!$A$2:$A$430,BoonRef!$C$2:$C$430))</f>
        <v/>
      </c>
      <c r="I133" s="526"/>
      <c r="J133" s="527"/>
      <c r="K133" s="527"/>
      <c r="L133" s="527"/>
      <c r="M133" s="527"/>
      <c r="N133" s="527"/>
      <c r="O133" s="527"/>
      <c r="P133" s="527"/>
      <c r="Q133" s="527"/>
      <c r="R133" s="527"/>
      <c r="S133" s="527"/>
      <c r="T133" s="527"/>
      <c r="U133" s="527"/>
      <c r="V133" s="527"/>
      <c r="W133" s="527"/>
      <c r="X133" s="527"/>
      <c r="Y133" s="528"/>
      <c r="Z133" s="524"/>
      <c r="AA133" s="525"/>
      <c r="AB133" s="525"/>
      <c r="AC133" s="525"/>
      <c r="AD133" s="525"/>
      <c r="AE133" s="526" t="str">
        <f>IF(Z134="","",LOOKUP(Z134,KanckRef!$A$2:$A$170,KanckRef!$E$2:$E$170))</f>
        <v/>
      </c>
      <c r="AF133" s="526"/>
      <c r="AG133" s="527"/>
      <c r="AH133" s="527"/>
      <c r="AI133" s="527"/>
      <c r="AJ133" s="527"/>
      <c r="AK133" s="527"/>
      <c r="AL133" s="527"/>
      <c r="AM133" s="527"/>
      <c r="AN133" s="527"/>
      <c r="AO133" s="527"/>
      <c r="AP133" s="527"/>
      <c r="AQ133" s="527"/>
      <c r="AR133" s="527"/>
      <c r="AS133" s="527"/>
      <c r="AT133" s="527"/>
      <c r="AU133" s="527"/>
      <c r="AV133" s="527"/>
      <c r="AW133" s="527"/>
      <c r="AX133" s="528"/>
    </row>
    <row r="134" spans="1:50" ht="15" customHeight="1" x14ac:dyDescent="0.25">
      <c r="A134" s="533"/>
      <c r="B134" s="534"/>
      <c r="C134" s="534"/>
      <c r="D134" s="534"/>
      <c r="E134" s="534"/>
      <c r="F134" s="534"/>
      <c r="G134" s="534"/>
      <c r="H134" s="535" t="str">
        <f>IF(A134="","",LOOKUP(A134,BoonRef!$A$2:$A$430,BoonRef!$P$2:$P$430))</f>
        <v/>
      </c>
      <c r="I134" s="535"/>
      <c r="J134" s="529"/>
      <c r="K134" s="529"/>
      <c r="L134" s="529"/>
      <c r="M134" s="529"/>
      <c r="N134" s="529"/>
      <c r="O134" s="529"/>
      <c r="P134" s="529"/>
      <c r="Q134" s="529"/>
      <c r="R134" s="529"/>
      <c r="S134" s="529"/>
      <c r="T134" s="529"/>
      <c r="U134" s="529"/>
      <c r="V134" s="529"/>
      <c r="W134" s="529"/>
      <c r="X134" s="529"/>
      <c r="Y134" s="530"/>
      <c r="Z134" s="533"/>
      <c r="AA134" s="534"/>
      <c r="AB134" s="534"/>
      <c r="AC134" s="534"/>
      <c r="AD134" s="534"/>
      <c r="AE134" s="535" t="str">
        <f>IF(Z134="","",LOOKUP(Z134,KanckRef!$A$2:$A$170,KanckRef!$F$2:$F$170))</f>
        <v/>
      </c>
      <c r="AF134" s="535"/>
      <c r="AG134" s="529"/>
      <c r="AH134" s="529"/>
      <c r="AI134" s="529"/>
      <c r="AJ134" s="529"/>
      <c r="AK134" s="529"/>
      <c r="AL134" s="529"/>
      <c r="AM134" s="529"/>
      <c r="AN134" s="529"/>
      <c r="AO134" s="529"/>
      <c r="AP134" s="529"/>
      <c r="AQ134" s="529"/>
      <c r="AR134" s="529"/>
      <c r="AS134" s="529"/>
      <c r="AT134" s="529"/>
      <c r="AU134" s="529"/>
      <c r="AV134" s="529"/>
      <c r="AW134" s="529"/>
      <c r="AX134" s="530"/>
    </row>
    <row r="135" spans="1:50" ht="15" customHeight="1" x14ac:dyDescent="0.25">
      <c r="A135" s="533"/>
      <c r="B135" s="534"/>
      <c r="C135" s="534"/>
      <c r="D135" s="534"/>
      <c r="E135" s="534"/>
      <c r="F135" s="534"/>
      <c r="G135" s="534"/>
      <c r="H135" s="535" t="str">
        <f>IF(A134="","",LOOKUP(A134,BoonRef!$A$2:$A$430,BoonRef!$Q$2:$Q$430))</f>
        <v/>
      </c>
      <c r="I135" s="535"/>
      <c r="J135" s="529"/>
      <c r="K135" s="529"/>
      <c r="L135" s="529"/>
      <c r="M135" s="529"/>
      <c r="N135" s="529"/>
      <c r="O135" s="529"/>
      <c r="P135" s="529"/>
      <c r="Q135" s="529"/>
      <c r="R135" s="529"/>
      <c r="S135" s="529"/>
      <c r="T135" s="529"/>
      <c r="U135" s="529"/>
      <c r="V135" s="529"/>
      <c r="W135" s="529"/>
      <c r="X135" s="529"/>
      <c r="Y135" s="530"/>
      <c r="Z135" s="533"/>
      <c r="AA135" s="534"/>
      <c r="AB135" s="534"/>
      <c r="AC135" s="534"/>
      <c r="AD135" s="534"/>
      <c r="AE135" s="535"/>
      <c r="AF135" s="535"/>
      <c r="AG135" s="529"/>
      <c r="AH135" s="529"/>
      <c r="AI135" s="529"/>
      <c r="AJ135" s="529"/>
      <c r="AK135" s="529"/>
      <c r="AL135" s="529"/>
      <c r="AM135" s="529"/>
      <c r="AN135" s="529"/>
      <c r="AO135" s="529"/>
      <c r="AP135" s="529"/>
      <c r="AQ135" s="529"/>
      <c r="AR135" s="529"/>
      <c r="AS135" s="529"/>
      <c r="AT135" s="529"/>
      <c r="AU135" s="529"/>
      <c r="AV135" s="529"/>
      <c r="AW135" s="529"/>
      <c r="AX135" s="530"/>
    </row>
    <row r="136" spans="1:50" ht="15" customHeight="1" x14ac:dyDescent="0.25">
      <c r="A136" s="536" t="str">
        <f>IF(A134="","",LOOKUP(A134,BoonRef!$A$2:$A$430,BoonRef!$O$2:$O$430))</f>
        <v/>
      </c>
      <c r="B136" s="535"/>
      <c r="C136" s="535"/>
      <c r="D136" s="535"/>
      <c r="E136" s="535"/>
      <c r="F136" s="535"/>
      <c r="G136" s="535"/>
      <c r="H136" s="535"/>
      <c r="I136" s="535"/>
      <c r="J136" s="529"/>
      <c r="K136" s="529"/>
      <c r="L136" s="529"/>
      <c r="M136" s="529"/>
      <c r="N136" s="529"/>
      <c r="O136" s="529"/>
      <c r="P136" s="529"/>
      <c r="Q136" s="529"/>
      <c r="R136" s="529"/>
      <c r="S136" s="529"/>
      <c r="T136" s="529"/>
      <c r="U136" s="529"/>
      <c r="V136" s="529"/>
      <c r="W136" s="529"/>
      <c r="X136" s="529"/>
      <c r="Y136" s="530"/>
      <c r="Z136" s="536" t="str">
        <f>IF(Z134="","",LOOKUP(Z134,KanckRef!$A$2:$A$170,KanckRef!$D$2:$D$170))</f>
        <v/>
      </c>
      <c r="AA136" s="535"/>
      <c r="AB136" s="535"/>
      <c r="AC136" s="535"/>
      <c r="AD136" s="535"/>
      <c r="AE136" s="535"/>
      <c r="AF136" s="535"/>
      <c r="AG136" s="529"/>
      <c r="AH136" s="529"/>
      <c r="AI136" s="529"/>
      <c r="AJ136" s="529"/>
      <c r="AK136" s="529"/>
      <c r="AL136" s="529"/>
      <c r="AM136" s="529"/>
      <c r="AN136" s="529"/>
      <c r="AO136" s="529"/>
      <c r="AP136" s="529"/>
      <c r="AQ136" s="529"/>
      <c r="AR136" s="529"/>
      <c r="AS136" s="529"/>
      <c r="AT136" s="529"/>
      <c r="AU136" s="529"/>
      <c r="AV136" s="529"/>
      <c r="AW136" s="529"/>
      <c r="AX136" s="530"/>
    </row>
    <row r="137" spans="1:50" ht="15" customHeight="1" x14ac:dyDescent="0.25">
      <c r="A137" s="536" t="str">
        <f>IF(A134="","",LOOKUP(A134,BoonRef!$A$2:$A$430,BoonRef!$N$2:$N$430))</f>
        <v/>
      </c>
      <c r="B137" s="535"/>
      <c r="C137" s="535"/>
      <c r="D137" s="535"/>
      <c r="E137" s="535"/>
      <c r="F137" s="535"/>
      <c r="G137" s="535"/>
      <c r="H137" s="535"/>
      <c r="I137" s="535"/>
      <c r="J137" s="529"/>
      <c r="K137" s="529"/>
      <c r="L137" s="529"/>
      <c r="M137" s="529"/>
      <c r="N137" s="529"/>
      <c r="O137" s="529"/>
      <c r="P137" s="529"/>
      <c r="Q137" s="529"/>
      <c r="R137" s="529"/>
      <c r="S137" s="529"/>
      <c r="T137" s="529"/>
      <c r="U137" s="529"/>
      <c r="V137" s="529"/>
      <c r="W137" s="529"/>
      <c r="X137" s="529"/>
      <c r="Y137" s="530"/>
      <c r="Z137" s="536"/>
      <c r="AA137" s="535"/>
      <c r="AB137" s="535"/>
      <c r="AC137" s="535"/>
      <c r="AD137" s="535"/>
      <c r="AE137" s="535"/>
      <c r="AF137" s="535"/>
      <c r="AG137" s="529"/>
      <c r="AH137" s="529"/>
      <c r="AI137" s="529"/>
      <c r="AJ137" s="529"/>
      <c r="AK137" s="529"/>
      <c r="AL137" s="529"/>
      <c r="AM137" s="529"/>
      <c r="AN137" s="529"/>
      <c r="AO137" s="529"/>
      <c r="AP137" s="529"/>
      <c r="AQ137" s="529"/>
      <c r="AR137" s="529"/>
      <c r="AS137" s="529"/>
      <c r="AT137" s="529"/>
      <c r="AU137" s="529"/>
      <c r="AV137" s="529"/>
      <c r="AW137" s="529"/>
      <c r="AX137" s="530"/>
    </row>
    <row r="138" spans="1:50" ht="15" customHeight="1" thickBot="1" x14ac:dyDescent="0.3">
      <c r="A138" s="537"/>
      <c r="B138" s="538"/>
      <c r="C138" s="538"/>
      <c r="D138" s="538"/>
      <c r="E138" s="538"/>
      <c r="F138" s="538"/>
      <c r="G138" s="538"/>
      <c r="H138" s="538"/>
      <c r="I138" s="538"/>
      <c r="J138" s="531"/>
      <c r="K138" s="531"/>
      <c r="L138" s="531"/>
      <c r="M138" s="531"/>
      <c r="N138" s="531"/>
      <c r="O138" s="531"/>
      <c r="P138" s="531"/>
      <c r="Q138" s="531"/>
      <c r="R138" s="531"/>
      <c r="S138" s="531"/>
      <c r="T138" s="531"/>
      <c r="U138" s="531"/>
      <c r="V138" s="531"/>
      <c r="W138" s="531"/>
      <c r="X138" s="531"/>
      <c r="Y138" s="532"/>
      <c r="Z138" s="537"/>
      <c r="AA138" s="538"/>
      <c r="AB138" s="538"/>
      <c r="AC138" s="538"/>
      <c r="AD138" s="538"/>
      <c r="AE138" s="538"/>
      <c r="AF138" s="538"/>
      <c r="AG138" s="531"/>
      <c r="AH138" s="531"/>
      <c r="AI138" s="531"/>
      <c r="AJ138" s="531"/>
      <c r="AK138" s="531"/>
      <c r="AL138" s="531"/>
      <c r="AM138" s="531"/>
      <c r="AN138" s="531"/>
      <c r="AO138" s="531"/>
      <c r="AP138" s="531"/>
      <c r="AQ138" s="531"/>
      <c r="AR138" s="531"/>
      <c r="AS138" s="531"/>
      <c r="AT138" s="531"/>
      <c r="AU138" s="531"/>
      <c r="AV138" s="531"/>
      <c r="AW138" s="531"/>
      <c r="AX138" s="532"/>
    </row>
    <row r="139" spans="1:50" ht="15" customHeight="1" x14ac:dyDescent="0.25">
      <c r="A139" s="524"/>
      <c r="B139" s="525"/>
      <c r="C139" s="525"/>
      <c r="D139" s="525"/>
      <c r="E139" s="525"/>
      <c r="F139" s="525"/>
      <c r="G139" s="525"/>
      <c r="H139" s="526" t="str">
        <f>IF(A140="","",LOOKUP(A140,BoonRef!$A$2:$A$430,BoonRef!$C$2:$C$430))</f>
        <v/>
      </c>
      <c r="I139" s="526"/>
      <c r="J139" s="527"/>
      <c r="K139" s="527"/>
      <c r="L139" s="527"/>
      <c r="M139" s="527"/>
      <c r="N139" s="527"/>
      <c r="O139" s="527"/>
      <c r="P139" s="527"/>
      <c r="Q139" s="527"/>
      <c r="R139" s="527"/>
      <c r="S139" s="527"/>
      <c r="T139" s="527"/>
      <c r="U139" s="527"/>
      <c r="V139" s="527"/>
      <c r="W139" s="527"/>
      <c r="X139" s="527"/>
      <c r="Y139" s="528"/>
      <c r="Z139" s="524"/>
      <c r="AA139" s="525"/>
      <c r="AB139" s="525"/>
      <c r="AC139" s="525"/>
      <c r="AD139" s="525"/>
      <c r="AE139" s="526" t="str">
        <f>IF(Z140="","",LOOKUP(Z140,KanckRef!$A$2:$A$170,KanckRef!$E$2:$E$170))</f>
        <v/>
      </c>
      <c r="AF139" s="526"/>
      <c r="AG139" s="527"/>
      <c r="AH139" s="527"/>
      <c r="AI139" s="527"/>
      <c r="AJ139" s="527"/>
      <c r="AK139" s="527"/>
      <c r="AL139" s="527"/>
      <c r="AM139" s="527"/>
      <c r="AN139" s="527"/>
      <c r="AO139" s="527"/>
      <c r="AP139" s="527"/>
      <c r="AQ139" s="527"/>
      <c r="AR139" s="527"/>
      <c r="AS139" s="527"/>
      <c r="AT139" s="527"/>
      <c r="AU139" s="527"/>
      <c r="AV139" s="527"/>
      <c r="AW139" s="527"/>
      <c r="AX139" s="528"/>
    </row>
    <row r="140" spans="1:50" ht="15" customHeight="1" x14ac:dyDescent="0.25">
      <c r="A140" s="533"/>
      <c r="B140" s="534"/>
      <c r="C140" s="534"/>
      <c r="D140" s="534"/>
      <c r="E140" s="534"/>
      <c r="F140" s="534"/>
      <c r="G140" s="534"/>
      <c r="H140" s="535" t="str">
        <f>IF(A140="","",LOOKUP(A140,BoonRef!$A$2:$A$430,BoonRef!$P$2:$P$430))</f>
        <v/>
      </c>
      <c r="I140" s="535"/>
      <c r="J140" s="529"/>
      <c r="K140" s="529"/>
      <c r="L140" s="529"/>
      <c r="M140" s="529"/>
      <c r="N140" s="529"/>
      <c r="O140" s="529"/>
      <c r="P140" s="529"/>
      <c r="Q140" s="529"/>
      <c r="R140" s="529"/>
      <c r="S140" s="529"/>
      <c r="T140" s="529"/>
      <c r="U140" s="529"/>
      <c r="V140" s="529"/>
      <c r="W140" s="529"/>
      <c r="X140" s="529"/>
      <c r="Y140" s="530"/>
      <c r="Z140" s="533"/>
      <c r="AA140" s="534"/>
      <c r="AB140" s="534"/>
      <c r="AC140" s="534"/>
      <c r="AD140" s="534"/>
      <c r="AE140" s="535" t="str">
        <f>IF(Z140="","",LOOKUP(Z140,KanckRef!$A$2:$A$170,KanckRef!$F$2:$F$170))</f>
        <v/>
      </c>
      <c r="AF140" s="535"/>
      <c r="AG140" s="529"/>
      <c r="AH140" s="529"/>
      <c r="AI140" s="529"/>
      <c r="AJ140" s="529"/>
      <c r="AK140" s="529"/>
      <c r="AL140" s="529"/>
      <c r="AM140" s="529"/>
      <c r="AN140" s="529"/>
      <c r="AO140" s="529"/>
      <c r="AP140" s="529"/>
      <c r="AQ140" s="529"/>
      <c r="AR140" s="529"/>
      <c r="AS140" s="529"/>
      <c r="AT140" s="529"/>
      <c r="AU140" s="529"/>
      <c r="AV140" s="529"/>
      <c r="AW140" s="529"/>
      <c r="AX140" s="530"/>
    </row>
    <row r="141" spans="1:50" ht="15" customHeight="1" x14ac:dyDescent="0.25">
      <c r="A141" s="533"/>
      <c r="B141" s="534"/>
      <c r="C141" s="534"/>
      <c r="D141" s="534"/>
      <c r="E141" s="534"/>
      <c r="F141" s="534"/>
      <c r="G141" s="534"/>
      <c r="H141" s="535" t="str">
        <f>IF(A140="","",LOOKUP(A140,BoonRef!$A$2:$A$430,BoonRef!$Q$2:$Q$430))</f>
        <v/>
      </c>
      <c r="I141" s="535"/>
      <c r="J141" s="529"/>
      <c r="K141" s="529"/>
      <c r="L141" s="529"/>
      <c r="M141" s="529"/>
      <c r="N141" s="529"/>
      <c r="O141" s="529"/>
      <c r="P141" s="529"/>
      <c r="Q141" s="529"/>
      <c r="R141" s="529"/>
      <c r="S141" s="529"/>
      <c r="T141" s="529"/>
      <c r="U141" s="529"/>
      <c r="V141" s="529"/>
      <c r="W141" s="529"/>
      <c r="X141" s="529"/>
      <c r="Y141" s="530"/>
      <c r="Z141" s="533"/>
      <c r="AA141" s="534"/>
      <c r="AB141" s="534"/>
      <c r="AC141" s="534"/>
      <c r="AD141" s="534"/>
      <c r="AE141" s="535"/>
      <c r="AF141" s="535"/>
      <c r="AG141" s="529"/>
      <c r="AH141" s="529"/>
      <c r="AI141" s="529"/>
      <c r="AJ141" s="529"/>
      <c r="AK141" s="529"/>
      <c r="AL141" s="529"/>
      <c r="AM141" s="529"/>
      <c r="AN141" s="529"/>
      <c r="AO141" s="529"/>
      <c r="AP141" s="529"/>
      <c r="AQ141" s="529"/>
      <c r="AR141" s="529"/>
      <c r="AS141" s="529"/>
      <c r="AT141" s="529"/>
      <c r="AU141" s="529"/>
      <c r="AV141" s="529"/>
      <c r="AW141" s="529"/>
      <c r="AX141" s="530"/>
    </row>
    <row r="142" spans="1:50" ht="15" customHeight="1" x14ac:dyDescent="0.25">
      <c r="A142" s="536" t="str">
        <f>IF(A140="","",LOOKUP(A140,BoonRef!$A$2:$A$430,BoonRef!$O$2:$O$430))</f>
        <v/>
      </c>
      <c r="B142" s="535"/>
      <c r="C142" s="535"/>
      <c r="D142" s="535"/>
      <c r="E142" s="535"/>
      <c r="F142" s="535"/>
      <c r="G142" s="535"/>
      <c r="H142" s="535"/>
      <c r="I142" s="535"/>
      <c r="J142" s="529"/>
      <c r="K142" s="529"/>
      <c r="L142" s="529"/>
      <c r="M142" s="529"/>
      <c r="N142" s="529"/>
      <c r="O142" s="529"/>
      <c r="P142" s="529"/>
      <c r="Q142" s="529"/>
      <c r="R142" s="529"/>
      <c r="S142" s="529"/>
      <c r="T142" s="529"/>
      <c r="U142" s="529"/>
      <c r="V142" s="529"/>
      <c r="W142" s="529"/>
      <c r="X142" s="529"/>
      <c r="Y142" s="530"/>
      <c r="Z142" s="536" t="str">
        <f>IF(Z140="","",LOOKUP(Z140,KanckRef!$A$2:$A$170,KanckRef!$D$2:$D$170))</f>
        <v/>
      </c>
      <c r="AA142" s="535"/>
      <c r="AB142" s="535"/>
      <c r="AC142" s="535"/>
      <c r="AD142" s="535"/>
      <c r="AE142" s="535"/>
      <c r="AF142" s="535"/>
      <c r="AG142" s="529"/>
      <c r="AH142" s="529"/>
      <c r="AI142" s="529"/>
      <c r="AJ142" s="529"/>
      <c r="AK142" s="529"/>
      <c r="AL142" s="529"/>
      <c r="AM142" s="529"/>
      <c r="AN142" s="529"/>
      <c r="AO142" s="529"/>
      <c r="AP142" s="529"/>
      <c r="AQ142" s="529"/>
      <c r="AR142" s="529"/>
      <c r="AS142" s="529"/>
      <c r="AT142" s="529"/>
      <c r="AU142" s="529"/>
      <c r="AV142" s="529"/>
      <c r="AW142" s="529"/>
      <c r="AX142" s="530"/>
    </row>
    <row r="143" spans="1:50" ht="15" customHeight="1" x14ac:dyDescent="0.25">
      <c r="A143" s="536" t="str">
        <f>IF(A140="","",LOOKUP(A140,BoonRef!$A$2:$A$430,BoonRef!$N$2:$N$430))</f>
        <v/>
      </c>
      <c r="B143" s="535"/>
      <c r="C143" s="535"/>
      <c r="D143" s="535"/>
      <c r="E143" s="535"/>
      <c r="F143" s="535"/>
      <c r="G143" s="535"/>
      <c r="H143" s="535"/>
      <c r="I143" s="535"/>
      <c r="J143" s="529"/>
      <c r="K143" s="529"/>
      <c r="L143" s="529"/>
      <c r="M143" s="529"/>
      <c r="N143" s="529"/>
      <c r="O143" s="529"/>
      <c r="P143" s="529"/>
      <c r="Q143" s="529"/>
      <c r="R143" s="529"/>
      <c r="S143" s="529"/>
      <c r="T143" s="529"/>
      <c r="U143" s="529"/>
      <c r="V143" s="529"/>
      <c r="W143" s="529"/>
      <c r="X143" s="529"/>
      <c r="Y143" s="530"/>
      <c r="Z143" s="536"/>
      <c r="AA143" s="535"/>
      <c r="AB143" s="535"/>
      <c r="AC143" s="535"/>
      <c r="AD143" s="535"/>
      <c r="AE143" s="535"/>
      <c r="AF143" s="535"/>
      <c r="AG143" s="529"/>
      <c r="AH143" s="529"/>
      <c r="AI143" s="529"/>
      <c r="AJ143" s="529"/>
      <c r="AK143" s="529"/>
      <c r="AL143" s="529"/>
      <c r="AM143" s="529"/>
      <c r="AN143" s="529"/>
      <c r="AO143" s="529"/>
      <c r="AP143" s="529"/>
      <c r="AQ143" s="529"/>
      <c r="AR143" s="529"/>
      <c r="AS143" s="529"/>
      <c r="AT143" s="529"/>
      <c r="AU143" s="529"/>
      <c r="AV143" s="529"/>
      <c r="AW143" s="529"/>
      <c r="AX143" s="530"/>
    </row>
    <row r="144" spans="1:50" ht="15" customHeight="1" thickBot="1" x14ac:dyDescent="0.3">
      <c r="A144" s="537"/>
      <c r="B144" s="538"/>
      <c r="C144" s="538"/>
      <c r="D144" s="538"/>
      <c r="E144" s="538"/>
      <c r="F144" s="538"/>
      <c r="G144" s="538"/>
      <c r="H144" s="538"/>
      <c r="I144" s="538"/>
      <c r="J144" s="531"/>
      <c r="K144" s="531"/>
      <c r="L144" s="531"/>
      <c r="M144" s="531"/>
      <c r="N144" s="531"/>
      <c r="O144" s="531"/>
      <c r="P144" s="531"/>
      <c r="Q144" s="531"/>
      <c r="R144" s="531"/>
      <c r="S144" s="531"/>
      <c r="T144" s="531"/>
      <c r="U144" s="531"/>
      <c r="V144" s="531"/>
      <c r="W144" s="531"/>
      <c r="X144" s="531"/>
      <c r="Y144" s="532"/>
      <c r="Z144" s="537"/>
      <c r="AA144" s="538"/>
      <c r="AB144" s="538"/>
      <c r="AC144" s="538"/>
      <c r="AD144" s="538"/>
      <c r="AE144" s="538"/>
      <c r="AF144" s="538"/>
      <c r="AG144" s="531"/>
      <c r="AH144" s="531"/>
      <c r="AI144" s="531"/>
      <c r="AJ144" s="531"/>
      <c r="AK144" s="531"/>
      <c r="AL144" s="531"/>
      <c r="AM144" s="531"/>
      <c r="AN144" s="531"/>
      <c r="AO144" s="531"/>
      <c r="AP144" s="531"/>
      <c r="AQ144" s="531"/>
      <c r="AR144" s="531"/>
      <c r="AS144" s="531"/>
      <c r="AT144" s="531"/>
      <c r="AU144" s="531"/>
      <c r="AV144" s="531"/>
      <c r="AW144" s="531"/>
      <c r="AX144" s="532"/>
    </row>
    <row r="145" spans="1:50" ht="15" customHeight="1" x14ac:dyDescent="0.25">
      <c r="A145" s="524"/>
      <c r="B145" s="525"/>
      <c r="C145" s="525"/>
      <c r="D145" s="525"/>
      <c r="E145" s="525"/>
      <c r="F145" s="525"/>
      <c r="G145" s="525"/>
      <c r="H145" s="526" t="str">
        <f>IF(A146="","",LOOKUP(A146,BoonRef!$A$2:$A$430,BoonRef!$C$2:$C$430))</f>
        <v/>
      </c>
      <c r="I145" s="526"/>
      <c r="J145" s="527"/>
      <c r="K145" s="527"/>
      <c r="L145" s="527"/>
      <c r="M145" s="527"/>
      <c r="N145" s="527"/>
      <c r="O145" s="527"/>
      <c r="P145" s="527"/>
      <c r="Q145" s="527"/>
      <c r="R145" s="527"/>
      <c r="S145" s="527"/>
      <c r="T145" s="527"/>
      <c r="U145" s="527"/>
      <c r="V145" s="527"/>
      <c r="W145" s="527"/>
      <c r="X145" s="527"/>
      <c r="Y145" s="528"/>
      <c r="Z145" s="524"/>
      <c r="AA145" s="525"/>
      <c r="AB145" s="525"/>
      <c r="AC145" s="525"/>
      <c r="AD145" s="525"/>
      <c r="AE145" s="526" t="str">
        <f>IF(Z146="","",LOOKUP(Z146,KanckRef!$A$2:$A$170,KanckRef!$E$2:$E$170))</f>
        <v/>
      </c>
      <c r="AF145" s="526"/>
      <c r="AG145" s="527"/>
      <c r="AH145" s="527"/>
      <c r="AI145" s="527"/>
      <c r="AJ145" s="527"/>
      <c r="AK145" s="527"/>
      <c r="AL145" s="527"/>
      <c r="AM145" s="527"/>
      <c r="AN145" s="527"/>
      <c r="AO145" s="527"/>
      <c r="AP145" s="527"/>
      <c r="AQ145" s="527"/>
      <c r="AR145" s="527"/>
      <c r="AS145" s="527"/>
      <c r="AT145" s="527"/>
      <c r="AU145" s="527"/>
      <c r="AV145" s="527"/>
      <c r="AW145" s="527"/>
      <c r="AX145" s="528"/>
    </row>
    <row r="146" spans="1:50" ht="15" customHeight="1" x14ac:dyDescent="0.25">
      <c r="A146" s="533"/>
      <c r="B146" s="534"/>
      <c r="C146" s="534"/>
      <c r="D146" s="534"/>
      <c r="E146" s="534"/>
      <c r="F146" s="534"/>
      <c r="G146" s="534"/>
      <c r="H146" s="535" t="str">
        <f>IF(A146="","",LOOKUP(A146,BoonRef!$A$2:$A$430,BoonRef!$P$2:$P$430))</f>
        <v/>
      </c>
      <c r="I146" s="535"/>
      <c r="J146" s="529"/>
      <c r="K146" s="529"/>
      <c r="L146" s="529"/>
      <c r="M146" s="529"/>
      <c r="N146" s="529"/>
      <c r="O146" s="529"/>
      <c r="P146" s="529"/>
      <c r="Q146" s="529"/>
      <c r="R146" s="529"/>
      <c r="S146" s="529"/>
      <c r="T146" s="529"/>
      <c r="U146" s="529"/>
      <c r="V146" s="529"/>
      <c r="W146" s="529"/>
      <c r="X146" s="529"/>
      <c r="Y146" s="530"/>
      <c r="Z146" s="533"/>
      <c r="AA146" s="534"/>
      <c r="AB146" s="534"/>
      <c r="AC146" s="534"/>
      <c r="AD146" s="534"/>
      <c r="AE146" s="535" t="str">
        <f>IF(Z146="","",LOOKUP(Z146,KanckRef!$A$2:$A$170,KanckRef!$F$2:$F$170))</f>
        <v/>
      </c>
      <c r="AF146" s="535"/>
      <c r="AG146" s="529"/>
      <c r="AH146" s="529"/>
      <c r="AI146" s="529"/>
      <c r="AJ146" s="529"/>
      <c r="AK146" s="529"/>
      <c r="AL146" s="529"/>
      <c r="AM146" s="529"/>
      <c r="AN146" s="529"/>
      <c r="AO146" s="529"/>
      <c r="AP146" s="529"/>
      <c r="AQ146" s="529"/>
      <c r="AR146" s="529"/>
      <c r="AS146" s="529"/>
      <c r="AT146" s="529"/>
      <c r="AU146" s="529"/>
      <c r="AV146" s="529"/>
      <c r="AW146" s="529"/>
      <c r="AX146" s="530"/>
    </row>
    <row r="147" spans="1:50" ht="15" customHeight="1" x14ac:dyDescent="0.25">
      <c r="A147" s="533"/>
      <c r="B147" s="534"/>
      <c r="C147" s="534"/>
      <c r="D147" s="534"/>
      <c r="E147" s="534"/>
      <c r="F147" s="534"/>
      <c r="G147" s="534"/>
      <c r="H147" s="535" t="str">
        <f>IF(A146="","",LOOKUP(A146,BoonRef!$A$2:$A$430,BoonRef!$Q$2:$Q$430))</f>
        <v/>
      </c>
      <c r="I147" s="535"/>
      <c r="J147" s="529"/>
      <c r="K147" s="529"/>
      <c r="L147" s="529"/>
      <c r="M147" s="529"/>
      <c r="N147" s="529"/>
      <c r="O147" s="529"/>
      <c r="P147" s="529"/>
      <c r="Q147" s="529"/>
      <c r="R147" s="529"/>
      <c r="S147" s="529"/>
      <c r="T147" s="529"/>
      <c r="U147" s="529"/>
      <c r="V147" s="529"/>
      <c r="W147" s="529"/>
      <c r="X147" s="529"/>
      <c r="Y147" s="530"/>
      <c r="Z147" s="533"/>
      <c r="AA147" s="534"/>
      <c r="AB147" s="534"/>
      <c r="AC147" s="534"/>
      <c r="AD147" s="534"/>
      <c r="AE147" s="535"/>
      <c r="AF147" s="535"/>
      <c r="AG147" s="529"/>
      <c r="AH147" s="529"/>
      <c r="AI147" s="529"/>
      <c r="AJ147" s="529"/>
      <c r="AK147" s="529"/>
      <c r="AL147" s="529"/>
      <c r="AM147" s="529"/>
      <c r="AN147" s="529"/>
      <c r="AO147" s="529"/>
      <c r="AP147" s="529"/>
      <c r="AQ147" s="529"/>
      <c r="AR147" s="529"/>
      <c r="AS147" s="529"/>
      <c r="AT147" s="529"/>
      <c r="AU147" s="529"/>
      <c r="AV147" s="529"/>
      <c r="AW147" s="529"/>
      <c r="AX147" s="530"/>
    </row>
    <row r="148" spans="1:50" ht="15" customHeight="1" x14ac:dyDescent="0.25">
      <c r="A148" s="536" t="str">
        <f>IF(A146="","",LOOKUP(A146,BoonRef!$A$2:$A$430,BoonRef!$O$2:$O$430))</f>
        <v/>
      </c>
      <c r="B148" s="535"/>
      <c r="C148" s="535"/>
      <c r="D148" s="535"/>
      <c r="E148" s="535"/>
      <c r="F148" s="535"/>
      <c r="G148" s="535"/>
      <c r="H148" s="535"/>
      <c r="I148" s="535"/>
      <c r="J148" s="529"/>
      <c r="K148" s="529"/>
      <c r="L148" s="529"/>
      <c r="M148" s="529"/>
      <c r="N148" s="529"/>
      <c r="O148" s="529"/>
      <c r="P148" s="529"/>
      <c r="Q148" s="529"/>
      <c r="R148" s="529"/>
      <c r="S148" s="529"/>
      <c r="T148" s="529"/>
      <c r="U148" s="529"/>
      <c r="V148" s="529"/>
      <c r="W148" s="529"/>
      <c r="X148" s="529"/>
      <c r="Y148" s="530"/>
      <c r="Z148" s="536" t="str">
        <f>IF(Z146="","",LOOKUP(Z146,KanckRef!$A$2:$A$170,KanckRef!$D$2:$D$170))</f>
        <v/>
      </c>
      <c r="AA148" s="535"/>
      <c r="AB148" s="535"/>
      <c r="AC148" s="535"/>
      <c r="AD148" s="535"/>
      <c r="AE148" s="535"/>
      <c r="AF148" s="535"/>
      <c r="AG148" s="529"/>
      <c r="AH148" s="529"/>
      <c r="AI148" s="529"/>
      <c r="AJ148" s="529"/>
      <c r="AK148" s="529"/>
      <c r="AL148" s="529"/>
      <c r="AM148" s="529"/>
      <c r="AN148" s="529"/>
      <c r="AO148" s="529"/>
      <c r="AP148" s="529"/>
      <c r="AQ148" s="529"/>
      <c r="AR148" s="529"/>
      <c r="AS148" s="529"/>
      <c r="AT148" s="529"/>
      <c r="AU148" s="529"/>
      <c r="AV148" s="529"/>
      <c r="AW148" s="529"/>
      <c r="AX148" s="530"/>
    </row>
    <row r="149" spans="1:50" ht="15" customHeight="1" x14ac:dyDescent="0.25">
      <c r="A149" s="536" t="str">
        <f>IF(A146="","",LOOKUP(A146,BoonRef!$A$2:$A$430,BoonRef!$N$2:$N$430))</f>
        <v/>
      </c>
      <c r="B149" s="535"/>
      <c r="C149" s="535"/>
      <c r="D149" s="535"/>
      <c r="E149" s="535"/>
      <c r="F149" s="535"/>
      <c r="G149" s="535"/>
      <c r="H149" s="535"/>
      <c r="I149" s="535"/>
      <c r="J149" s="529"/>
      <c r="K149" s="529"/>
      <c r="L149" s="529"/>
      <c r="M149" s="529"/>
      <c r="N149" s="529"/>
      <c r="O149" s="529"/>
      <c r="P149" s="529"/>
      <c r="Q149" s="529"/>
      <c r="R149" s="529"/>
      <c r="S149" s="529"/>
      <c r="T149" s="529"/>
      <c r="U149" s="529"/>
      <c r="V149" s="529"/>
      <c r="W149" s="529"/>
      <c r="X149" s="529"/>
      <c r="Y149" s="530"/>
      <c r="Z149" s="536"/>
      <c r="AA149" s="535"/>
      <c r="AB149" s="535"/>
      <c r="AC149" s="535"/>
      <c r="AD149" s="535"/>
      <c r="AE149" s="535"/>
      <c r="AF149" s="535"/>
      <c r="AG149" s="529"/>
      <c r="AH149" s="529"/>
      <c r="AI149" s="529"/>
      <c r="AJ149" s="529"/>
      <c r="AK149" s="529"/>
      <c r="AL149" s="529"/>
      <c r="AM149" s="529"/>
      <c r="AN149" s="529"/>
      <c r="AO149" s="529"/>
      <c r="AP149" s="529"/>
      <c r="AQ149" s="529"/>
      <c r="AR149" s="529"/>
      <c r="AS149" s="529"/>
      <c r="AT149" s="529"/>
      <c r="AU149" s="529"/>
      <c r="AV149" s="529"/>
      <c r="AW149" s="529"/>
      <c r="AX149" s="530"/>
    </row>
    <row r="150" spans="1:50" ht="15" customHeight="1" thickBot="1" x14ac:dyDescent="0.3">
      <c r="A150" s="537"/>
      <c r="B150" s="538"/>
      <c r="C150" s="538"/>
      <c r="D150" s="538"/>
      <c r="E150" s="538"/>
      <c r="F150" s="538"/>
      <c r="G150" s="538"/>
      <c r="H150" s="538"/>
      <c r="I150" s="538"/>
      <c r="J150" s="531"/>
      <c r="K150" s="531"/>
      <c r="L150" s="531"/>
      <c r="M150" s="531"/>
      <c r="N150" s="531"/>
      <c r="O150" s="531"/>
      <c r="P150" s="531"/>
      <c r="Q150" s="531"/>
      <c r="R150" s="531"/>
      <c r="S150" s="531"/>
      <c r="T150" s="531"/>
      <c r="U150" s="531"/>
      <c r="V150" s="531"/>
      <c r="W150" s="531"/>
      <c r="X150" s="531"/>
      <c r="Y150" s="532"/>
      <c r="Z150" s="537"/>
      <c r="AA150" s="538"/>
      <c r="AB150" s="538"/>
      <c r="AC150" s="538"/>
      <c r="AD150" s="538"/>
      <c r="AE150" s="538"/>
      <c r="AF150" s="538"/>
      <c r="AG150" s="531"/>
      <c r="AH150" s="531"/>
      <c r="AI150" s="531"/>
      <c r="AJ150" s="531"/>
      <c r="AK150" s="531"/>
      <c r="AL150" s="531"/>
      <c r="AM150" s="531"/>
      <c r="AN150" s="531"/>
      <c r="AO150" s="531"/>
      <c r="AP150" s="531"/>
      <c r="AQ150" s="531"/>
      <c r="AR150" s="531"/>
      <c r="AS150" s="531"/>
      <c r="AT150" s="531"/>
      <c r="AU150" s="531"/>
      <c r="AV150" s="531"/>
      <c r="AW150" s="531"/>
      <c r="AX150" s="532"/>
    </row>
    <row r="151" spans="1:50" ht="15" customHeight="1" x14ac:dyDescent="0.25">
      <c r="A151" s="524"/>
      <c r="B151" s="525"/>
      <c r="C151" s="525"/>
      <c r="D151" s="525"/>
      <c r="E151" s="525"/>
      <c r="F151" s="525"/>
      <c r="G151" s="525"/>
      <c r="H151" s="526" t="str">
        <f>IF(A152="","",LOOKUP(A152,BoonRef!$A$2:$A$430,BoonRef!$C$2:$C$430))</f>
        <v/>
      </c>
      <c r="I151" s="526"/>
      <c r="J151" s="527"/>
      <c r="K151" s="527"/>
      <c r="L151" s="527"/>
      <c r="M151" s="527"/>
      <c r="N151" s="527"/>
      <c r="O151" s="527"/>
      <c r="P151" s="527"/>
      <c r="Q151" s="527"/>
      <c r="R151" s="527"/>
      <c r="S151" s="527"/>
      <c r="T151" s="527"/>
      <c r="U151" s="527"/>
      <c r="V151" s="527"/>
      <c r="W151" s="527"/>
      <c r="X151" s="527"/>
      <c r="Y151" s="528"/>
      <c r="Z151" s="524"/>
      <c r="AA151" s="525"/>
      <c r="AB151" s="525"/>
      <c r="AC151" s="525"/>
      <c r="AD151" s="525"/>
      <c r="AE151" s="526" t="str">
        <f>IF(Z152="","",LOOKUP(Z152,KanckRef!$A$2:$A$170,KanckRef!$E$2:$E$170))</f>
        <v/>
      </c>
      <c r="AF151" s="526"/>
      <c r="AG151" s="527"/>
      <c r="AH151" s="527"/>
      <c r="AI151" s="527"/>
      <c r="AJ151" s="527"/>
      <c r="AK151" s="527"/>
      <c r="AL151" s="527"/>
      <c r="AM151" s="527"/>
      <c r="AN151" s="527"/>
      <c r="AO151" s="527"/>
      <c r="AP151" s="527"/>
      <c r="AQ151" s="527"/>
      <c r="AR151" s="527"/>
      <c r="AS151" s="527"/>
      <c r="AT151" s="527"/>
      <c r="AU151" s="527"/>
      <c r="AV151" s="527"/>
      <c r="AW151" s="527"/>
      <c r="AX151" s="528"/>
    </row>
    <row r="152" spans="1:50" ht="15" customHeight="1" x14ac:dyDescent="0.25">
      <c r="A152" s="533"/>
      <c r="B152" s="534"/>
      <c r="C152" s="534"/>
      <c r="D152" s="534"/>
      <c r="E152" s="534"/>
      <c r="F152" s="534"/>
      <c r="G152" s="534"/>
      <c r="H152" s="535" t="str">
        <f>IF(A152="","",LOOKUP(A152,BoonRef!$A$2:$A$430,BoonRef!$P$2:$P$430))</f>
        <v/>
      </c>
      <c r="I152" s="535"/>
      <c r="J152" s="529"/>
      <c r="K152" s="529"/>
      <c r="L152" s="529"/>
      <c r="M152" s="529"/>
      <c r="N152" s="529"/>
      <c r="O152" s="529"/>
      <c r="P152" s="529"/>
      <c r="Q152" s="529"/>
      <c r="R152" s="529"/>
      <c r="S152" s="529"/>
      <c r="T152" s="529"/>
      <c r="U152" s="529"/>
      <c r="V152" s="529"/>
      <c r="W152" s="529"/>
      <c r="X152" s="529"/>
      <c r="Y152" s="530"/>
      <c r="Z152" s="533"/>
      <c r="AA152" s="534"/>
      <c r="AB152" s="534"/>
      <c r="AC152" s="534"/>
      <c r="AD152" s="534"/>
      <c r="AE152" s="535" t="str">
        <f>IF(Z152="","",LOOKUP(Z152,KanckRef!$A$2:$A$170,KanckRef!$F$2:$F$170))</f>
        <v/>
      </c>
      <c r="AF152" s="535"/>
      <c r="AG152" s="529"/>
      <c r="AH152" s="529"/>
      <c r="AI152" s="529"/>
      <c r="AJ152" s="529"/>
      <c r="AK152" s="529"/>
      <c r="AL152" s="529"/>
      <c r="AM152" s="529"/>
      <c r="AN152" s="529"/>
      <c r="AO152" s="529"/>
      <c r="AP152" s="529"/>
      <c r="AQ152" s="529"/>
      <c r="AR152" s="529"/>
      <c r="AS152" s="529"/>
      <c r="AT152" s="529"/>
      <c r="AU152" s="529"/>
      <c r="AV152" s="529"/>
      <c r="AW152" s="529"/>
      <c r="AX152" s="530"/>
    </row>
    <row r="153" spans="1:50" ht="15" customHeight="1" x14ac:dyDescent="0.25">
      <c r="A153" s="533"/>
      <c r="B153" s="534"/>
      <c r="C153" s="534"/>
      <c r="D153" s="534"/>
      <c r="E153" s="534"/>
      <c r="F153" s="534"/>
      <c r="G153" s="534"/>
      <c r="H153" s="535" t="str">
        <f>IF(A152="","",LOOKUP(A152,BoonRef!$A$2:$A$430,BoonRef!$Q$2:$Q$430))</f>
        <v/>
      </c>
      <c r="I153" s="535"/>
      <c r="J153" s="529"/>
      <c r="K153" s="529"/>
      <c r="L153" s="529"/>
      <c r="M153" s="529"/>
      <c r="N153" s="529"/>
      <c r="O153" s="529"/>
      <c r="P153" s="529"/>
      <c r="Q153" s="529"/>
      <c r="R153" s="529"/>
      <c r="S153" s="529"/>
      <c r="T153" s="529"/>
      <c r="U153" s="529"/>
      <c r="V153" s="529"/>
      <c r="W153" s="529"/>
      <c r="X153" s="529"/>
      <c r="Y153" s="530"/>
      <c r="Z153" s="533"/>
      <c r="AA153" s="534"/>
      <c r="AB153" s="534"/>
      <c r="AC153" s="534"/>
      <c r="AD153" s="534"/>
      <c r="AE153" s="535"/>
      <c r="AF153" s="535"/>
      <c r="AG153" s="529"/>
      <c r="AH153" s="529"/>
      <c r="AI153" s="529"/>
      <c r="AJ153" s="529"/>
      <c r="AK153" s="529"/>
      <c r="AL153" s="529"/>
      <c r="AM153" s="529"/>
      <c r="AN153" s="529"/>
      <c r="AO153" s="529"/>
      <c r="AP153" s="529"/>
      <c r="AQ153" s="529"/>
      <c r="AR153" s="529"/>
      <c r="AS153" s="529"/>
      <c r="AT153" s="529"/>
      <c r="AU153" s="529"/>
      <c r="AV153" s="529"/>
      <c r="AW153" s="529"/>
      <c r="AX153" s="530"/>
    </row>
    <row r="154" spans="1:50" ht="15" customHeight="1" x14ac:dyDescent="0.25">
      <c r="A154" s="536" t="str">
        <f>IF(A152="","",LOOKUP(A152,BoonRef!$A$2:$A$430,BoonRef!$O$2:$O$430))</f>
        <v/>
      </c>
      <c r="B154" s="535"/>
      <c r="C154" s="535"/>
      <c r="D154" s="535"/>
      <c r="E154" s="535"/>
      <c r="F154" s="535"/>
      <c r="G154" s="535"/>
      <c r="H154" s="535"/>
      <c r="I154" s="535"/>
      <c r="J154" s="529"/>
      <c r="K154" s="529"/>
      <c r="L154" s="529"/>
      <c r="M154" s="529"/>
      <c r="N154" s="529"/>
      <c r="O154" s="529"/>
      <c r="P154" s="529"/>
      <c r="Q154" s="529"/>
      <c r="R154" s="529"/>
      <c r="S154" s="529"/>
      <c r="T154" s="529"/>
      <c r="U154" s="529"/>
      <c r="V154" s="529"/>
      <c r="W154" s="529"/>
      <c r="X154" s="529"/>
      <c r="Y154" s="530"/>
      <c r="Z154" s="536" t="str">
        <f>IF(Z152="","",LOOKUP(Z152,KanckRef!$A$2:$A$170,KanckRef!$D$2:$D$170))</f>
        <v/>
      </c>
      <c r="AA154" s="535"/>
      <c r="AB154" s="535"/>
      <c r="AC154" s="535"/>
      <c r="AD154" s="535"/>
      <c r="AE154" s="535"/>
      <c r="AF154" s="535"/>
      <c r="AG154" s="529"/>
      <c r="AH154" s="529"/>
      <c r="AI154" s="529"/>
      <c r="AJ154" s="529"/>
      <c r="AK154" s="529"/>
      <c r="AL154" s="529"/>
      <c r="AM154" s="529"/>
      <c r="AN154" s="529"/>
      <c r="AO154" s="529"/>
      <c r="AP154" s="529"/>
      <c r="AQ154" s="529"/>
      <c r="AR154" s="529"/>
      <c r="AS154" s="529"/>
      <c r="AT154" s="529"/>
      <c r="AU154" s="529"/>
      <c r="AV154" s="529"/>
      <c r="AW154" s="529"/>
      <c r="AX154" s="530"/>
    </row>
    <row r="155" spans="1:50" ht="15" customHeight="1" x14ac:dyDescent="0.25">
      <c r="A155" s="536" t="str">
        <f>IF(A152="","",LOOKUP(A152,BoonRef!$A$2:$A$430,BoonRef!$N$2:$N$430))</f>
        <v/>
      </c>
      <c r="B155" s="535"/>
      <c r="C155" s="535"/>
      <c r="D155" s="535"/>
      <c r="E155" s="535"/>
      <c r="F155" s="535"/>
      <c r="G155" s="535"/>
      <c r="H155" s="535"/>
      <c r="I155" s="535"/>
      <c r="J155" s="529"/>
      <c r="K155" s="529"/>
      <c r="L155" s="529"/>
      <c r="M155" s="529"/>
      <c r="N155" s="529"/>
      <c r="O155" s="529"/>
      <c r="P155" s="529"/>
      <c r="Q155" s="529"/>
      <c r="R155" s="529"/>
      <c r="S155" s="529"/>
      <c r="T155" s="529"/>
      <c r="U155" s="529"/>
      <c r="V155" s="529"/>
      <c r="W155" s="529"/>
      <c r="X155" s="529"/>
      <c r="Y155" s="530"/>
      <c r="Z155" s="536"/>
      <c r="AA155" s="535"/>
      <c r="AB155" s="535"/>
      <c r="AC155" s="535"/>
      <c r="AD155" s="535"/>
      <c r="AE155" s="535"/>
      <c r="AF155" s="535"/>
      <c r="AG155" s="529"/>
      <c r="AH155" s="529"/>
      <c r="AI155" s="529"/>
      <c r="AJ155" s="529"/>
      <c r="AK155" s="529"/>
      <c r="AL155" s="529"/>
      <c r="AM155" s="529"/>
      <c r="AN155" s="529"/>
      <c r="AO155" s="529"/>
      <c r="AP155" s="529"/>
      <c r="AQ155" s="529"/>
      <c r="AR155" s="529"/>
      <c r="AS155" s="529"/>
      <c r="AT155" s="529"/>
      <c r="AU155" s="529"/>
      <c r="AV155" s="529"/>
      <c r="AW155" s="529"/>
      <c r="AX155" s="530"/>
    </row>
    <row r="156" spans="1:50" ht="15" customHeight="1" thickBot="1" x14ac:dyDescent="0.3">
      <c r="A156" s="537"/>
      <c r="B156" s="538"/>
      <c r="C156" s="538"/>
      <c r="D156" s="538"/>
      <c r="E156" s="538"/>
      <c r="F156" s="538"/>
      <c r="G156" s="538"/>
      <c r="H156" s="538"/>
      <c r="I156" s="538"/>
      <c r="J156" s="531"/>
      <c r="K156" s="531"/>
      <c r="L156" s="531"/>
      <c r="M156" s="531"/>
      <c r="N156" s="531"/>
      <c r="O156" s="531"/>
      <c r="P156" s="531"/>
      <c r="Q156" s="531"/>
      <c r="R156" s="531"/>
      <c r="S156" s="531"/>
      <c r="T156" s="531"/>
      <c r="U156" s="531"/>
      <c r="V156" s="531"/>
      <c r="W156" s="531"/>
      <c r="X156" s="531"/>
      <c r="Y156" s="532"/>
      <c r="Z156" s="537"/>
      <c r="AA156" s="538"/>
      <c r="AB156" s="538"/>
      <c r="AC156" s="538"/>
      <c r="AD156" s="538"/>
      <c r="AE156" s="538"/>
      <c r="AF156" s="538"/>
      <c r="AG156" s="531"/>
      <c r="AH156" s="531"/>
      <c r="AI156" s="531"/>
      <c r="AJ156" s="531"/>
      <c r="AK156" s="531"/>
      <c r="AL156" s="531"/>
      <c r="AM156" s="531"/>
      <c r="AN156" s="531"/>
      <c r="AO156" s="531"/>
      <c r="AP156" s="531"/>
      <c r="AQ156" s="531"/>
      <c r="AR156" s="531"/>
      <c r="AS156" s="531"/>
      <c r="AT156" s="531"/>
      <c r="AU156" s="531"/>
      <c r="AV156" s="531"/>
      <c r="AW156" s="531"/>
      <c r="AX156" s="532"/>
    </row>
    <row r="157" spans="1:50" ht="15" customHeight="1" x14ac:dyDescent="0.25">
      <c r="A157" s="524"/>
      <c r="B157" s="525"/>
      <c r="C157" s="525"/>
      <c r="D157" s="525"/>
      <c r="E157" s="525"/>
      <c r="F157" s="525"/>
      <c r="G157" s="525"/>
      <c r="H157" s="526" t="str">
        <f>IF(A158="","",LOOKUP(A158,BoonRef!$A$2:$A$430,BoonRef!$C$2:$C$430))</f>
        <v/>
      </c>
      <c r="I157" s="526"/>
      <c r="J157" s="527"/>
      <c r="K157" s="527"/>
      <c r="L157" s="527"/>
      <c r="M157" s="527"/>
      <c r="N157" s="527"/>
      <c r="O157" s="527"/>
      <c r="P157" s="527"/>
      <c r="Q157" s="527"/>
      <c r="R157" s="527"/>
      <c r="S157" s="527"/>
      <c r="T157" s="527"/>
      <c r="U157" s="527"/>
      <c r="V157" s="527"/>
      <c r="W157" s="527"/>
      <c r="X157" s="527"/>
      <c r="Y157" s="528"/>
      <c r="Z157" s="524"/>
      <c r="AA157" s="525"/>
      <c r="AB157" s="525"/>
      <c r="AC157" s="525"/>
      <c r="AD157" s="525"/>
      <c r="AE157" s="526" t="str">
        <f>IF(Z158="","",LOOKUP(Z158,KanckRef!$A$2:$A$170,KanckRef!$E$2:$E$170))</f>
        <v/>
      </c>
      <c r="AF157" s="526"/>
      <c r="AG157" s="527"/>
      <c r="AH157" s="527"/>
      <c r="AI157" s="527"/>
      <c r="AJ157" s="527"/>
      <c r="AK157" s="527"/>
      <c r="AL157" s="527"/>
      <c r="AM157" s="527"/>
      <c r="AN157" s="527"/>
      <c r="AO157" s="527"/>
      <c r="AP157" s="527"/>
      <c r="AQ157" s="527"/>
      <c r="AR157" s="527"/>
      <c r="AS157" s="527"/>
      <c r="AT157" s="527"/>
      <c r="AU157" s="527"/>
      <c r="AV157" s="527"/>
      <c r="AW157" s="527"/>
      <c r="AX157" s="528"/>
    </row>
    <row r="158" spans="1:50" ht="15" customHeight="1" x14ac:dyDescent="0.25">
      <c r="A158" s="533"/>
      <c r="B158" s="534"/>
      <c r="C158" s="534"/>
      <c r="D158" s="534"/>
      <c r="E158" s="534"/>
      <c r="F158" s="534"/>
      <c r="G158" s="534"/>
      <c r="H158" s="535" t="str">
        <f>IF(A158="","",LOOKUP(A158,BoonRef!$A$2:$A$430,BoonRef!$P$2:$P$430))</f>
        <v/>
      </c>
      <c r="I158" s="535"/>
      <c r="J158" s="529"/>
      <c r="K158" s="529"/>
      <c r="L158" s="529"/>
      <c r="M158" s="529"/>
      <c r="N158" s="529"/>
      <c r="O158" s="529"/>
      <c r="P158" s="529"/>
      <c r="Q158" s="529"/>
      <c r="R158" s="529"/>
      <c r="S158" s="529"/>
      <c r="T158" s="529"/>
      <c r="U158" s="529"/>
      <c r="V158" s="529"/>
      <c r="W158" s="529"/>
      <c r="X158" s="529"/>
      <c r="Y158" s="530"/>
      <c r="Z158" s="533"/>
      <c r="AA158" s="534"/>
      <c r="AB158" s="534"/>
      <c r="AC158" s="534"/>
      <c r="AD158" s="534"/>
      <c r="AE158" s="535" t="str">
        <f>IF(Z158="","",LOOKUP(Z158,KanckRef!$A$2:$A$170,KanckRef!$F$2:$F$170))</f>
        <v/>
      </c>
      <c r="AF158" s="535"/>
      <c r="AG158" s="529"/>
      <c r="AH158" s="529"/>
      <c r="AI158" s="529"/>
      <c r="AJ158" s="529"/>
      <c r="AK158" s="529"/>
      <c r="AL158" s="529"/>
      <c r="AM158" s="529"/>
      <c r="AN158" s="529"/>
      <c r="AO158" s="529"/>
      <c r="AP158" s="529"/>
      <c r="AQ158" s="529"/>
      <c r="AR158" s="529"/>
      <c r="AS158" s="529"/>
      <c r="AT158" s="529"/>
      <c r="AU158" s="529"/>
      <c r="AV158" s="529"/>
      <c r="AW158" s="529"/>
      <c r="AX158" s="530"/>
    </row>
    <row r="159" spans="1:50" ht="15" customHeight="1" x14ac:dyDescent="0.25">
      <c r="A159" s="533"/>
      <c r="B159" s="534"/>
      <c r="C159" s="534"/>
      <c r="D159" s="534"/>
      <c r="E159" s="534"/>
      <c r="F159" s="534"/>
      <c r="G159" s="534"/>
      <c r="H159" s="535" t="str">
        <f>IF(A158="","",LOOKUP(A158,BoonRef!$A$2:$A$430,BoonRef!$Q$2:$Q$430))</f>
        <v/>
      </c>
      <c r="I159" s="535"/>
      <c r="J159" s="529"/>
      <c r="K159" s="529"/>
      <c r="L159" s="529"/>
      <c r="M159" s="529"/>
      <c r="N159" s="529"/>
      <c r="O159" s="529"/>
      <c r="P159" s="529"/>
      <c r="Q159" s="529"/>
      <c r="R159" s="529"/>
      <c r="S159" s="529"/>
      <c r="T159" s="529"/>
      <c r="U159" s="529"/>
      <c r="V159" s="529"/>
      <c r="W159" s="529"/>
      <c r="X159" s="529"/>
      <c r="Y159" s="530"/>
      <c r="Z159" s="533"/>
      <c r="AA159" s="534"/>
      <c r="AB159" s="534"/>
      <c r="AC159" s="534"/>
      <c r="AD159" s="534"/>
      <c r="AE159" s="535"/>
      <c r="AF159" s="535"/>
      <c r="AG159" s="529"/>
      <c r="AH159" s="529"/>
      <c r="AI159" s="529"/>
      <c r="AJ159" s="529"/>
      <c r="AK159" s="529"/>
      <c r="AL159" s="529"/>
      <c r="AM159" s="529"/>
      <c r="AN159" s="529"/>
      <c r="AO159" s="529"/>
      <c r="AP159" s="529"/>
      <c r="AQ159" s="529"/>
      <c r="AR159" s="529"/>
      <c r="AS159" s="529"/>
      <c r="AT159" s="529"/>
      <c r="AU159" s="529"/>
      <c r="AV159" s="529"/>
      <c r="AW159" s="529"/>
      <c r="AX159" s="530"/>
    </row>
    <row r="160" spans="1:50" ht="15" customHeight="1" x14ac:dyDescent="0.25">
      <c r="A160" s="536" t="str">
        <f>IF(A158="","",LOOKUP(A158,BoonRef!$A$2:$A$430,BoonRef!$O$2:$O$430))</f>
        <v/>
      </c>
      <c r="B160" s="535"/>
      <c r="C160" s="535"/>
      <c r="D160" s="535"/>
      <c r="E160" s="535"/>
      <c r="F160" s="535"/>
      <c r="G160" s="535"/>
      <c r="H160" s="535"/>
      <c r="I160" s="535"/>
      <c r="J160" s="529"/>
      <c r="K160" s="529"/>
      <c r="L160" s="529"/>
      <c r="M160" s="529"/>
      <c r="N160" s="529"/>
      <c r="O160" s="529"/>
      <c r="P160" s="529"/>
      <c r="Q160" s="529"/>
      <c r="R160" s="529"/>
      <c r="S160" s="529"/>
      <c r="T160" s="529"/>
      <c r="U160" s="529"/>
      <c r="V160" s="529"/>
      <c r="W160" s="529"/>
      <c r="X160" s="529"/>
      <c r="Y160" s="530"/>
      <c r="Z160" s="536" t="str">
        <f>IF(Z158="","",LOOKUP(Z158,KanckRef!$A$2:$A$170,KanckRef!$D$2:$D$170))</f>
        <v/>
      </c>
      <c r="AA160" s="535"/>
      <c r="AB160" s="535"/>
      <c r="AC160" s="535"/>
      <c r="AD160" s="535"/>
      <c r="AE160" s="535"/>
      <c r="AF160" s="535"/>
      <c r="AG160" s="529"/>
      <c r="AH160" s="529"/>
      <c r="AI160" s="529"/>
      <c r="AJ160" s="529"/>
      <c r="AK160" s="529"/>
      <c r="AL160" s="529"/>
      <c r="AM160" s="529"/>
      <c r="AN160" s="529"/>
      <c r="AO160" s="529"/>
      <c r="AP160" s="529"/>
      <c r="AQ160" s="529"/>
      <c r="AR160" s="529"/>
      <c r="AS160" s="529"/>
      <c r="AT160" s="529"/>
      <c r="AU160" s="529"/>
      <c r="AV160" s="529"/>
      <c r="AW160" s="529"/>
      <c r="AX160" s="530"/>
    </row>
    <row r="161" spans="1:50" ht="15" customHeight="1" x14ac:dyDescent="0.25">
      <c r="A161" s="536" t="str">
        <f>IF(A158="","",LOOKUP(A158,BoonRef!$A$2:$A$430,BoonRef!$N$2:$N$430))</f>
        <v/>
      </c>
      <c r="B161" s="535"/>
      <c r="C161" s="535"/>
      <c r="D161" s="535"/>
      <c r="E161" s="535"/>
      <c r="F161" s="535"/>
      <c r="G161" s="535"/>
      <c r="H161" s="535"/>
      <c r="I161" s="535"/>
      <c r="J161" s="529"/>
      <c r="K161" s="529"/>
      <c r="L161" s="529"/>
      <c r="M161" s="529"/>
      <c r="N161" s="529"/>
      <c r="O161" s="529"/>
      <c r="P161" s="529"/>
      <c r="Q161" s="529"/>
      <c r="R161" s="529"/>
      <c r="S161" s="529"/>
      <c r="T161" s="529"/>
      <c r="U161" s="529"/>
      <c r="V161" s="529"/>
      <c r="W161" s="529"/>
      <c r="X161" s="529"/>
      <c r="Y161" s="530"/>
      <c r="Z161" s="536"/>
      <c r="AA161" s="535"/>
      <c r="AB161" s="535"/>
      <c r="AC161" s="535"/>
      <c r="AD161" s="535"/>
      <c r="AE161" s="535"/>
      <c r="AF161" s="535"/>
      <c r="AG161" s="529"/>
      <c r="AH161" s="529"/>
      <c r="AI161" s="529"/>
      <c r="AJ161" s="529"/>
      <c r="AK161" s="529"/>
      <c r="AL161" s="529"/>
      <c r="AM161" s="529"/>
      <c r="AN161" s="529"/>
      <c r="AO161" s="529"/>
      <c r="AP161" s="529"/>
      <c r="AQ161" s="529"/>
      <c r="AR161" s="529"/>
      <c r="AS161" s="529"/>
      <c r="AT161" s="529"/>
      <c r="AU161" s="529"/>
      <c r="AV161" s="529"/>
      <c r="AW161" s="529"/>
      <c r="AX161" s="530"/>
    </row>
    <row r="162" spans="1:50" ht="15" customHeight="1" thickBot="1" x14ac:dyDescent="0.3">
      <c r="A162" s="537"/>
      <c r="B162" s="538"/>
      <c r="C162" s="538"/>
      <c r="D162" s="538"/>
      <c r="E162" s="538"/>
      <c r="F162" s="538"/>
      <c r="G162" s="538"/>
      <c r="H162" s="538"/>
      <c r="I162" s="538"/>
      <c r="J162" s="531"/>
      <c r="K162" s="531"/>
      <c r="L162" s="531"/>
      <c r="M162" s="531"/>
      <c r="N162" s="531"/>
      <c r="O162" s="531"/>
      <c r="P162" s="531"/>
      <c r="Q162" s="531"/>
      <c r="R162" s="531"/>
      <c r="S162" s="531"/>
      <c r="T162" s="531"/>
      <c r="U162" s="531"/>
      <c r="V162" s="531"/>
      <c r="W162" s="531"/>
      <c r="X162" s="531"/>
      <c r="Y162" s="532"/>
      <c r="Z162" s="537"/>
      <c r="AA162" s="538"/>
      <c r="AB162" s="538"/>
      <c r="AC162" s="538"/>
      <c r="AD162" s="538"/>
      <c r="AE162" s="538"/>
      <c r="AF162" s="538"/>
      <c r="AG162" s="531"/>
      <c r="AH162" s="531"/>
      <c r="AI162" s="531"/>
      <c r="AJ162" s="531"/>
      <c r="AK162" s="531"/>
      <c r="AL162" s="531"/>
      <c r="AM162" s="531"/>
      <c r="AN162" s="531"/>
      <c r="AO162" s="531"/>
      <c r="AP162" s="531"/>
      <c r="AQ162" s="531"/>
      <c r="AR162" s="531"/>
      <c r="AS162" s="531"/>
      <c r="AT162" s="531"/>
      <c r="AU162" s="531"/>
      <c r="AV162" s="531"/>
      <c r="AW162" s="531"/>
      <c r="AX162" s="532"/>
    </row>
    <row r="163" spans="1:50" ht="15" customHeight="1" x14ac:dyDescent="0.25">
      <c r="A163" s="524"/>
      <c r="B163" s="525"/>
      <c r="C163" s="525"/>
      <c r="D163" s="525"/>
      <c r="E163" s="525"/>
      <c r="F163" s="525"/>
      <c r="G163" s="525"/>
      <c r="H163" s="526" t="str">
        <f>IF(A164="","",LOOKUP(A164,BoonRef!$A$2:$A$430,BoonRef!$C$2:$C$430))</f>
        <v/>
      </c>
      <c r="I163" s="526"/>
      <c r="J163" s="527"/>
      <c r="K163" s="527"/>
      <c r="L163" s="527"/>
      <c r="M163" s="527"/>
      <c r="N163" s="527"/>
      <c r="O163" s="527"/>
      <c r="P163" s="527"/>
      <c r="Q163" s="527"/>
      <c r="R163" s="527"/>
      <c r="S163" s="527"/>
      <c r="T163" s="527"/>
      <c r="U163" s="527"/>
      <c r="V163" s="527"/>
      <c r="W163" s="527"/>
      <c r="X163" s="527"/>
      <c r="Y163" s="528"/>
      <c r="Z163" s="524"/>
      <c r="AA163" s="525"/>
      <c r="AB163" s="525"/>
      <c r="AC163" s="525"/>
      <c r="AD163" s="525"/>
      <c r="AE163" s="526" t="str">
        <f>IF(Z164="","",LOOKUP(Z164,KanckRef!$A$2:$A$170,KanckRef!$E$2:$E$170))</f>
        <v/>
      </c>
      <c r="AF163" s="526"/>
      <c r="AG163" s="527"/>
      <c r="AH163" s="527"/>
      <c r="AI163" s="527"/>
      <c r="AJ163" s="527"/>
      <c r="AK163" s="527"/>
      <c r="AL163" s="527"/>
      <c r="AM163" s="527"/>
      <c r="AN163" s="527"/>
      <c r="AO163" s="527"/>
      <c r="AP163" s="527"/>
      <c r="AQ163" s="527"/>
      <c r="AR163" s="527"/>
      <c r="AS163" s="527"/>
      <c r="AT163" s="527"/>
      <c r="AU163" s="527"/>
      <c r="AV163" s="527"/>
      <c r="AW163" s="527"/>
      <c r="AX163" s="528"/>
    </row>
    <row r="164" spans="1:50" ht="15" customHeight="1" x14ac:dyDescent="0.25">
      <c r="A164" s="533"/>
      <c r="B164" s="534"/>
      <c r="C164" s="534"/>
      <c r="D164" s="534"/>
      <c r="E164" s="534"/>
      <c r="F164" s="534"/>
      <c r="G164" s="534"/>
      <c r="H164" s="535" t="str">
        <f>IF(A164="","",LOOKUP(A164,BoonRef!$A$2:$A$430,BoonRef!$P$2:$P$430))</f>
        <v/>
      </c>
      <c r="I164" s="535"/>
      <c r="J164" s="529"/>
      <c r="K164" s="529"/>
      <c r="L164" s="529"/>
      <c r="M164" s="529"/>
      <c r="N164" s="529"/>
      <c r="O164" s="529"/>
      <c r="P164" s="529"/>
      <c r="Q164" s="529"/>
      <c r="R164" s="529"/>
      <c r="S164" s="529"/>
      <c r="T164" s="529"/>
      <c r="U164" s="529"/>
      <c r="V164" s="529"/>
      <c r="W164" s="529"/>
      <c r="X164" s="529"/>
      <c r="Y164" s="530"/>
      <c r="Z164" s="533"/>
      <c r="AA164" s="534"/>
      <c r="AB164" s="534"/>
      <c r="AC164" s="534"/>
      <c r="AD164" s="534"/>
      <c r="AE164" s="535" t="str">
        <f>IF(Z164="","",LOOKUP(Z164,KanckRef!$A$2:$A$170,KanckRef!$F$2:$F$170))</f>
        <v/>
      </c>
      <c r="AF164" s="535"/>
      <c r="AG164" s="529"/>
      <c r="AH164" s="529"/>
      <c r="AI164" s="529"/>
      <c r="AJ164" s="529"/>
      <c r="AK164" s="529"/>
      <c r="AL164" s="529"/>
      <c r="AM164" s="529"/>
      <c r="AN164" s="529"/>
      <c r="AO164" s="529"/>
      <c r="AP164" s="529"/>
      <c r="AQ164" s="529"/>
      <c r="AR164" s="529"/>
      <c r="AS164" s="529"/>
      <c r="AT164" s="529"/>
      <c r="AU164" s="529"/>
      <c r="AV164" s="529"/>
      <c r="AW164" s="529"/>
      <c r="AX164" s="530"/>
    </row>
    <row r="165" spans="1:50" ht="15" customHeight="1" x14ac:dyDescent="0.25">
      <c r="A165" s="533"/>
      <c r="B165" s="534"/>
      <c r="C165" s="534"/>
      <c r="D165" s="534"/>
      <c r="E165" s="534"/>
      <c r="F165" s="534"/>
      <c r="G165" s="534"/>
      <c r="H165" s="535" t="str">
        <f>IF(A164="","",LOOKUP(A164,BoonRef!$A$2:$A$430,BoonRef!$Q$2:$Q$430))</f>
        <v/>
      </c>
      <c r="I165" s="535"/>
      <c r="J165" s="529"/>
      <c r="K165" s="529"/>
      <c r="L165" s="529"/>
      <c r="M165" s="529"/>
      <c r="N165" s="529"/>
      <c r="O165" s="529"/>
      <c r="P165" s="529"/>
      <c r="Q165" s="529"/>
      <c r="R165" s="529"/>
      <c r="S165" s="529"/>
      <c r="T165" s="529"/>
      <c r="U165" s="529"/>
      <c r="V165" s="529"/>
      <c r="W165" s="529"/>
      <c r="X165" s="529"/>
      <c r="Y165" s="530"/>
      <c r="Z165" s="533"/>
      <c r="AA165" s="534"/>
      <c r="AB165" s="534"/>
      <c r="AC165" s="534"/>
      <c r="AD165" s="534"/>
      <c r="AE165" s="535"/>
      <c r="AF165" s="535"/>
      <c r="AG165" s="529"/>
      <c r="AH165" s="529"/>
      <c r="AI165" s="529"/>
      <c r="AJ165" s="529"/>
      <c r="AK165" s="529"/>
      <c r="AL165" s="529"/>
      <c r="AM165" s="529"/>
      <c r="AN165" s="529"/>
      <c r="AO165" s="529"/>
      <c r="AP165" s="529"/>
      <c r="AQ165" s="529"/>
      <c r="AR165" s="529"/>
      <c r="AS165" s="529"/>
      <c r="AT165" s="529"/>
      <c r="AU165" s="529"/>
      <c r="AV165" s="529"/>
      <c r="AW165" s="529"/>
      <c r="AX165" s="530"/>
    </row>
    <row r="166" spans="1:50" ht="15" customHeight="1" x14ac:dyDescent="0.25">
      <c r="A166" s="536" t="str">
        <f>IF(A164="","",LOOKUP(A164,BoonRef!$A$2:$A$430,BoonRef!$O$2:$O$430))</f>
        <v/>
      </c>
      <c r="B166" s="535"/>
      <c r="C166" s="535"/>
      <c r="D166" s="535"/>
      <c r="E166" s="535"/>
      <c r="F166" s="535"/>
      <c r="G166" s="535"/>
      <c r="H166" s="535"/>
      <c r="I166" s="535"/>
      <c r="J166" s="529"/>
      <c r="K166" s="529"/>
      <c r="L166" s="529"/>
      <c r="M166" s="529"/>
      <c r="N166" s="529"/>
      <c r="O166" s="529"/>
      <c r="P166" s="529"/>
      <c r="Q166" s="529"/>
      <c r="R166" s="529"/>
      <c r="S166" s="529"/>
      <c r="T166" s="529"/>
      <c r="U166" s="529"/>
      <c r="V166" s="529"/>
      <c r="W166" s="529"/>
      <c r="X166" s="529"/>
      <c r="Y166" s="530"/>
      <c r="Z166" s="536" t="str">
        <f>IF(Z164="","",LOOKUP(Z164,KanckRef!$A$2:$A$170,KanckRef!$D$2:$D$170))</f>
        <v/>
      </c>
      <c r="AA166" s="535"/>
      <c r="AB166" s="535"/>
      <c r="AC166" s="535"/>
      <c r="AD166" s="535"/>
      <c r="AE166" s="535"/>
      <c r="AF166" s="535"/>
      <c r="AG166" s="529"/>
      <c r="AH166" s="529"/>
      <c r="AI166" s="529"/>
      <c r="AJ166" s="529"/>
      <c r="AK166" s="529"/>
      <c r="AL166" s="529"/>
      <c r="AM166" s="529"/>
      <c r="AN166" s="529"/>
      <c r="AO166" s="529"/>
      <c r="AP166" s="529"/>
      <c r="AQ166" s="529"/>
      <c r="AR166" s="529"/>
      <c r="AS166" s="529"/>
      <c r="AT166" s="529"/>
      <c r="AU166" s="529"/>
      <c r="AV166" s="529"/>
      <c r="AW166" s="529"/>
      <c r="AX166" s="530"/>
    </row>
    <row r="167" spans="1:50" ht="15" customHeight="1" x14ac:dyDescent="0.25">
      <c r="A167" s="536" t="str">
        <f>IF(A164="","",LOOKUP(A164,BoonRef!$A$2:$A$430,BoonRef!$N$2:$N$430))</f>
        <v/>
      </c>
      <c r="B167" s="535"/>
      <c r="C167" s="535"/>
      <c r="D167" s="535"/>
      <c r="E167" s="535"/>
      <c r="F167" s="535"/>
      <c r="G167" s="535"/>
      <c r="H167" s="535"/>
      <c r="I167" s="535"/>
      <c r="J167" s="529"/>
      <c r="K167" s="529"/>
      <c r="L167" s="529"/>
      <c r="M167" s="529"/>
      <c r="N167" s="529"/>
      <c r="O167" s="529"/>
      <c r="P167" s="529"/>
      <c r="Q167" s="529"/>
      <c r="R167" s="529"/>
      <c r="S167" s="529"/>
      <c r="T167" s="529"/>
      <c r="U167" s="529"/>
      <c r="V167" s="529"/>
      <c r="W167" s="529"/>
      <c r="X167" s="529"/>
      <c r="Y167" s="530"/>
      <c r="Z167" s="536"/>
      <c r="AA167" s="535"/>
      <c r="AB167" s="535"/>
      <c r="AC167" s="535"/>
      <c r="AD167" s="535"/>
      <c r="AE167" s="535"/>
      <c r="AF167" s="535"/>
      <c r="AG167" s="529"/>
      <c r="AH167" s="529"/>
      <c r="AI167" s="529"/>
      <c r="AJ167" s="529"/>
      <c r="AK167" s="529"/>
      <c r="AL167" s="529"/>
      <c r="AM167" s="529"/>
      <c r="AN167" s="529"/>
      <c r="AO167" s="529"/>
      <c r="AP167" s="529"/>
      <c r="AQ167" s="529"/>
      <c r="AR167" s="529"/>
      <c r="AS167" s="529"/>
      <c r="AT167" s="529"/>
      <c r="AU167" s="529"/>
      <c r="AV167" s="529"/>
      <c r="AW167" s="529"/>
      <c r="AX167" s="530"/>
    </row>
    <row r="168" spans="1:50" ht="15" customHeight="1" thickBot="1" x14ac:dyDescent="0.3">
      <c r="A168" s="537"/>
      <c r="B168" s="538"/>
      <c r="C168" s="538"/>
      <c r="D168" s="538"/>
      <c r="E168" s="538"/>
      <c r="F168" s="538"/>
      <c r="G168" s="538"/>
      <c r="H168" s="538"/>
      <c r="I168" s="538"/>
      <c r="J168" s="531"/>
      <c r="K168" s="531"/>
      <c r="L168" s="531"/>
      <c r="M168" s="531"/>
      <c r="N168" s="531"/>
      <c r="O168" s="531"/>
      <c r="P168" s="531"/>
      <c r="Q168" s="531"/>
      <c r="R168" s="531"/>
      <c r="S168" s="531"/>
      <c r="T168" s="531"/>
      <c r="U168" s="531"/>
      <c r="V168" s="531"/>
      <c r="W168" s="531"/>
      <c r="X168" s="531"/>
      <c r="Y168" s="532"/>
      <c r="Z168" s="537"/>
      <c r="AA168" s="538"/>
      <c r="AB168" s="538"/>
      <c r="AC168" s="538"/>
      <c r="AD168" s="538"/>
      <c r="AE168" s="538"/>
      <c r="AF168" s="538"/>
      <c r="AG168" s="531"/>
      <c r="AH168" s="531"/>
      <c r="AI168" s="531"/>
      <c r="AJ168" s="531"/>
      <c r="AK168" s="531"/>
      <c r="AL168" s="531"/>
      <c r="AM168" s="531"/>
      <c r="AN168" s="531"/>
      <c r="AO168" s="531"/>
      <c r="AP168" s="531"/>
      <c r="AQ168" s="531"/>
      <c r="AR168" s="531"/>
      <c r="AS168" s="531"/>
      <c r="AT168" s="531"/>
      <c r="AU168" s="531"/>
      <c r="AV168" s="531"/>
      <c r="AW168" s="531"/>
      <c r="AX168" s="532"/>
    </row>
    <row r="169" spans="1:50" ht="15" customHeight="1" x14ac:dyDescent="0.25">
      <c r="A169" s="524"/>
      <c r="B169" s="525"/>
      <c r="C169" s="525"/>
      <c r="D169" s="525"/>
      <c r="E169" s="525"/>
      <c r="F169" s="525"/>
      <c r="G169" s="525"/>
      <c r="H169" s="526" t="str">
        <f>IF(A170="","",LOOKUP(A170,BoonRef!$A$2:$A$430,BoonRef!$C$2:$C$430))</f>
        <v/>
      </c>
      <c r="I169" s="526"/>
      <c r="J169" s="527"/>
      <c r="K169" s="527"/>
      <c r="L169" s="527"/>
      <c r="M169" s="527"/>
      <c r="N169" s="527"/>
      <c r="O169" s="527"/>
      <c r="P169" s="527"/>
      <c r="Q169" s="527"/>
      <c r="R169" s="527"/>
      <c r="S169" s="527"/>
      <c r="T169" s="527"/>
      <c r="U169" s="527"/>
      <c r="V169" s="527"/>
      <c r="W169" s="527"/>
      <c r="X169" s="527"/>
      <c r="Y169" s="528"/>
      <c r="Z169" s="524"/>
      <c r="AA169" s="525"/>
      <c r="AB169" s="525"/>
      <c r="AC169" s="525"/>
      <c r="AD169" s="525"/>
      <c r="AE169" s="526" t="str">
        <f>IF(Z170="","",LOOKUP(Z170,KanckRef!$A$2:$A$170,KanckRef!$E$2:$E$170))</f>
        <v/>
      </c>
      <c r="AF169" s="526"/>
      <c r="AG169" s="527"/>
      <c r="AH169" s="527"/>
      <c r="AI169" s="527"/>
      <c r="AJ169" s="527"/>
      <c r="AK169" s="527"/>
      <c r="AL169" s="527"/>
      <c r="AM169" s="527"/>
      <c r="AN169" s="527"/>
      <c r="AO169" s="527"/>
      <c r="AP169" s="527"/>
      <c r="AQ169" s="527"/>
      <c r="AR169" s="527"/>
      <c r="AS169" s="527"/>
      <c r="AT169" s="527"/>
      <c r="AU169" s="527"/>
      <c r="AV169" s="527"/>
      <c r="AW169" s="527"/>
      <c r="AX169" s="528"/>
    </row>
    <row r="170" spans="1:50" ht="15" customHeight="1" x14ac:dyDescent="0.25">
      <c r="A170" s="533"/>
      <c r="B170" s="534"/>
      <c r="C170" s="534"/>
      <c r="D170" s="534"/>
      <c r="E170" s="534"/>
      <c r="F170" s="534"/>
      <c r="G170" s="534"/>
      <c r="H170" s="535" t="str">
        <f>IF(A170="","",LOOKUP(A170,BoonRef!$A$2:$A$430,BoonRef!$P$2:$P$430))</f>
        <v/>
      </c>
      <c r="I170" s="535"/>
      <c r="J170" s="529"/>
      <c r="K170" s="529"/>
      <c r="L170" s="529"/>
      <c r="M170" s="529"/>
      <c r="N170" s="529"/>
      <c r="O170" s="529"/>
      <c r="P170" s="529"/>
      <c r="Q170" s="529"/>
      <c r="R170" s="529"/>
      <c r="S170" s="529"/>
      <c r="T170" s="529"/>
      <c r="U170" s="529"/>
      <c r="V170" s="529"/>
      <c r="W170" s="529"/>
      <c r="X170" s="529"/>
      <c r="Y170" s="530"/>
      <c r="Z170" s="533"/>
      <c r="AA170" s="534"/>
      <c r="AB170" s="534"/>
      <c r="AC170" s="534"/>
      <c r="AD170" s="534"/>
      <c r="AE170" s="535" t="str">
        <f>IF(Z170="","",LOOKUP(Z170,KanckRef!$A$2:$A$170,KanckRef!$F$2:$F$170))</f>
        <v/>
      </c>
      <c r="AF170" s="535"/>
      <c r="AG170" s="529"/>
      <c r="AH170" s="529"/>
      <c r="AI170" s="529"/>
      <c r="AJ170" s="529"/>
      <c r="AK170" s="529"/>
      <c r="AL170" s="529"/>
      <c r="AM170" s="529"/>
      <c r="AN170" s="529"/>
      <c r="AO170" s="529"/>
      <c r="AP170" s="529"/>
      <c r="AQ170" s="529"/>
      <c r="AR170" s="529"/>
      <c r="AS170" s="529"/>
      <c r="AT170" s="529"/>
      <c r="AU170" s="529"/>
      <c r="AV170" s="529"/>
      <c r="AW170" s="529"/>
      <c r="AX170" s="530"/>
    </row>
    <row r="171" spans="1:50" ht="15" customHeight="1" x14ac:dyDescent="0.25">
      <c r="A171" s="533"/>
      <c r="B171" s="534"/>
      <c r="C171" s="534"/>
      <c r="D171" s="534"/>
      <c r="E171" s="534"/>
      <c r="F171" s="534"/>
      <c r="G171" s="534"/>
      <c r="H171" s="535" t="str">
        <f>IF(A170="","",LOOKUP(A170,BoonRef!$A$2:$A$430,BoonRef!$Q$2:$Q$430))</f>
        <v/>
      </c>
      <c r="I171" s="535"/>
      <c r="J171" s="529"/>
      <c r="K171" s="529"/>
      <c r="L171" s="529"/>
      <c r="M171" s="529"/>
      <c r="N171" s="529"/>
      <c r="O171" s="529"/>
      <c r="P171" s="529"/>
      <c r="Q171" s="529"/>
      <c r="R171" s="529"/>
      <c r="S171" s="529"/>
      <c r="T171" s="529"/>
      <c r="U171" s="529"/>
      <c r="V171" s="529"/>
      <c r="W171" s="529"/>
      <c r="X171" s="529"/>
      <c r="Y171" s="530"/>
      <c r="Z171" s="533"/>
      <c r="AA171" s="534"/>
      <c r="AB171" s="534"/>
      <c r="AC171" s="534"/>
      <c r="AD171" s="534"/>
      <c r="AE171" s="535"/>
      <c r="AF171" s="535"/>
      <c r="AG171" s="529"/>
      <c r="AH171" s="529"/>
      <c r="AI171" s="529"/>
      <c r="AJ171" s="529"/>
      <c r="AK171" s="529"/>
      <c r="AL171" s="529"/>
      <c r="AM171" s="529"/>
      <c r="AN171" s="529"/>
      <c r="AO171" s="529"/>
      <c r="AP171" s="529"/>
      <c r="AQ171" s="529"/>
      <c r="AR171" s="529"/>
      <c r="AS171" s="529"/>
      <c r="AT171" s="529"/>
      <c r="AU171" s="529"/>
      <c r="AV171" s="529"/>
      <c r="AW171" s="529"/>
      <c r="AX171" s="530"/>
    </row>
    <row r="172" spans="1:50" ht="15" customHeight="1" x14ac:dyDescent="0.25">
      <c r="A172" s="536" t="str">
        <f>IF(A170="","",LOOKUP(A170,BoonRef!$A$2:$A$430,BoonRef!$O$2:$O$430))</f>
        <v/>
      </c>
      <c r="B172" s="535"/>
      <c r="C172" s="535"/>
      <c r="D172" s="535"/>
      <c r="E172" s="535"/>
      <c r="F172" s="535"/>
      <c r="G172" s="535"/>
      <c r="H172" s="535"/>
      <c r="I172" s="535"/>
      <c r="J172" s="529"/>
      <c r="K172" s="529"/>
      <c r="L172" s="529"/>
      <c r="M172" s="529"/>
      <c r="N172" s="529"/>
      <c r="O172" s="529"/>
      <c r="P172" s="529"/>
      <c r="Q172" s="529"/>
      <c r="R172" s="529"/>
      <c r="S172" s="529"/>
      <c r="T172" s="529"/>
      <c r="U172" s="529"/>
      <c r="V172" s="529"/>
      <c r="W172" s="529"/>
      <c r="X172" s="529"/>
      <c r="Y172" s="530"/>
      <c r="Z172" s="536" t="str">
        <f>IF(Z170="","",LOOKUP(Z170,KanckRef!$A$2:$A$170,KanckRef!$D$2:$D$170))</f>
        <v/>
      </c>
      <c r="AA172" s="535"/>
      <c r="AB172" s="535"/>
      <c r="AC172" s="535"/>
      <c r="AD172" s="535"/>
      <c r="AE172" s="535"/>
      <c r="AF172" s="535"/>
      <c r="AG172" s="529"/>
      <c r="AH172" s="529"/>
      <c r="AI172" s="529"/>
      <c r="AJ172" s="529"/>
      <c r="AK172" s="529"/>
      <c r="AL172" s="529"/>
      <c r="AM172" s="529"/>
      <c r="AN172" s="529"/>
      <c r="AO172" s="529"/>
      <c r="AP172" s="529"/>
      <c r="AQ172" s="529"/>
      <c r="AR172" s="529"/>
      <c r="AS172" s="529"/>
      <c r="AT172" s="529"/>
      <c r="AU172" s="529"/>
      <c r="AV172" s="529"/>
      <c r="AW172" s="529"/>
      <c r="AX172" s="530"/>
    </row>
    <row r="173" spans="1:50" ht="15" customHeight="1" x14ac:dyDescent="0.25">
      <c r="A173" s="536" t="str">
        <f>IF(A170="","",LOOKUP(A170,BoonRef!$A$2:$A$430,BoonRef!$N$2:$N$430))</f>
        <v/>
      </c>
      <c r="B173" s="535"/>
      <c r="C173" s="535"/>
      <c r="D173" s="535"/>
      <c r="E173" s="535"/>
      <c r="F173" s="535"/>
      <c r="G173" s="535"/>
      <c r="H173" s="535"/>
      <c r="I173" s="535"/>
      <c r="J173" s="529"/>
      <c r="K173" s="529"/>
      <c r="L173" s="529"/>
      <c r="M173" s="529"/>
      <c r="N173" s="529"/>
      <c r="O173" s="529"/>
      <c r="P173" s="529"/>
      <c r="Q173" s="529"/>
      <c r="R173" s="529"/>
      <c r="S173" s="529"/>
      <c r="T173" s="529"/>
      <c r="U173" s="529"/>
      <c r="V173" s="529"/>
      <c r="W173" s="529"/>
      <c r="X173" s="529"/>
      <c r="Y173" s="530"/>
      <c r="Z173" s="536"/>
      <c r="AA173" s="535"/>
      <c r="AB173" s="535"/>
      <c r="AC173" s="535"/>
      <c r="AD173" s="535"/>
      <c r="AE173" s="535"/>
      <c r="AF173" s="535"/>
      <c r="AG173" s="529"/>
      <c r="AH173" s="529"/>
      <c r="AI173" s="529"/>
      <c r="AJ173" s="529"/>
      <c r="AK173" s="529"/>
      <c r="AL173" s="529"/>
      <c r="AM173" s="529"/>
      <c r="AN173" s="529"/>
      <c r="AO173" s="529"/>
      <c r="AP173" s="529"/>
      <c r="AQ173" s="529"/>
      <c r="AR173" s="529"/>
      <c r="AS173" s="529"/>
      <c r="AT173" s="529"/>
      <c r="AU173" s="529"/>
      <c r="AV173" s="529"/>
      <c r="AW173" s="529"/>
      <c r="AX173" s="530"/>
    </row>
    <row r="174" spans="1:50" ht="15" customHeight="1" thickBot="1" x14ac:dyDescent="0.3">
      <c r="A174" s="537"/>
      <c r="B174" s="538"/>
      <c r="C174" s="538"/>
      <c r="D174" s="538"/>
      <c r="E174" s="538"/>
      <c r="F174" s="538"/>
      <c r="G174" s="538"/>
      <c r="H174" s="538"/>
      <c r="I174" s="538"/>
      <c r="J174" s="531"/>
      <c r="K174" s="531"/>
      <c r="L174" s="531"/>
      <c r="M174" s="531"/>
      <c r="N174" s="531"/>
      <c r="O174" s="531"/>
      <c r="P174" s="531"/>
      <c r="Q174" s="531"/>
      <c r="R174" s="531"/>
      <c r="S174" s="531"/>
      <c r="T174" s="531"/>
      <c r="U174" s="531"/>
      <c r="V174" s="531"/>
      <c r="W174" s="531"/>
      <c r="X174" s="531"/>
      <c r="Y174" s="532"/>
      <c r="Z174" s="537"/>
      <c r="AA174" s="538"/>
      <c r="AB174" s="538"/>
      <c r="AC174" s="538"/>
      <c r="AD174" s="538"/>
      <c r="AE174" s="538"/>
      <c r="AF174" s="538"/>
      <c r="AG174" s="531"/>
      <c r="AH174" s="531"/>
      <c r="AI174" s="531"/>
      <c r="AJ174" s="531"/>
      <c r="AK174" s="531"/>
      <c r="AL174" s="531"/>
      <c r="AM174" s="531"/>
      <c r="AN174" s="531"/>
      <c r="AO174" s="531"/>
      <c r="AP174" s="531"/>
      <c r="AQ174" s="531"/>
      <c r="AR174" s="531"/>
      <c r="AS174" s="531"/>
      <c r="AT174" s="531"/>
      <c r="AU174" s="531"/>
      <c r="AV174" s="531"/>
      <c r="AW174" s="531"/>
      <c r="AX174" s="532"/>
    </row>
    <row r="175" spans="1:50" ht="15" customHeight="1" x14ac:dyDescent="0.25">
      <c r="A175" s="524"/>
      <c r="B175" s="525"/>
      <c r="C175" s="525"/>
      <c r="D175" s="525"/>
      <c r="E175" s="525"/>
      <c r="F175" s="525"/>
      <c r="G175" s="525"/>
      <c r="H175" s="526" t="str">
        <f>IF(A176="","",LOOKUP(A176,BoonRef!$A$2:$A$430,BoonRef!$C$2:$C$430))</f>
        <v/>
      </c>
      <c r="I175" s="526"/>
      <c r="J175" s="527"/>
      <c r="K175" s="527"/>
      <c r="L175" s="527"/>
      <c r="M175" s="527"/>
      <c r="N175" s="527"/>
      <c r="O175" s="527"/>
      <c r="P175" s="527"/>
      <c r="Q175" s="527"/>
      <c r="R175" s="527"/>
      <c r="S175" s="527"/>
      <c r="T175" s="527"/>
      <c r="U175" s="527"/>
      <c r="V175" s="527"/>
      <c r="W175" s="527"/>
      <c r="X175" s="527"/>
      <c r="Y175" s="528"/>
      <c r="Z175" s="524"/>
      <c r="AA175" s="525"/>
      <c r="AB175" s="525"/>
      <c r="AC175" s="525"/>
      <c r="AD175" s="525"/>
      <c r="AE175" s="526" t="str">
        <f>IF(Z176="","",LOOKUP(Z176,KanckRef!$A$2:$A$170,KanckRef!$E$2:$E$170))</f>
        <v/>
      </c>
      <c r="AF175" s="526"/>
      <c r="AG175" s="527"/>
      <c r="AH175" s="527"/>
      <c r="AI175" s="527"/>
      <c r="AJ175" s="527"/>
      <c r="AK175" s="527"/>
      <c r="AL175" s="527"/>
      <c r="AM175" s="527"/>
      <c r="AN175" s="527"/>
      <c r="AO175" s="527"/>
      <c r="AP175" s="527"/>
      <c r="AQ175" s="527"/>
      <c r="AR175" s="527"/>
      <c r="AS175" s="527"/>
      <c r="AT175" s="527"/>
      <c r="AU175" s="527"/>
      <c r="AV175" s="527"/>
      <c r="AW175" s="527"/>
      <c r="AX175" s="528"/>
    </row>
    <row r="176" spans="1:50" ht="15" customHeight="1" x14ac:dyDescent="0.25">
      <c r="A176" s="533"/>
      <c r="B176" s="534"/>
      <c r="C176" s="534"/>
      <c r="D176" s="534"/>
      <c r="E176" s="534"/>
      <c r="F176" s="534"/>
      <c r="G176" s="534"/>
      <c r="H176" s="535" t="str">
        <f>IF(A176="","",LOOKUP(A176,BoonRef!$A$2:$A$430,BoonRef!$P$2:$P$430))</f>
        <v/>
      </c>
      <c r="I176" s="535"/>
      <c r="J176" s="529"/>
      <c r="K176" s="529"/>
      <c r="L176" s="529"/>
      <c r="M176" s="529"/>
      <c r="N176" s="529"/>
      <c r="O176" s="529"/>
      <c r="P176" s="529"/>
      <c r="Q176" s="529"/>
      <c r="R176" s="529"/>
      <c r="S176" s="529"/>
      <c r="T176" s="529"/>
      <c r="U176" s="529"/>
      <c r="V176" s="529"/>
      <c r="W176" s="529"/>
      <c r="X176" s="529"/>
      <c r="Y176" s="530"/>
      <c r="Z176" s="533"/>
      <c r="AA176" s="534"/>
      <c r="AB176" s="534"/>
      <c r="AC176" s="534"/>
      <c r="AD176" s="534"/>
      <c r="AE176" s="535" t="str">
        <f>IF(Z176="","",LOOKUP(Z176,KanckRef!$A$2:$A$170,KanckRef!$F$2:$F$170))</f>
        <v/>
      </c>
      <c r="AF176" s="535"/>
      <c r="AG176" s="529"/>
      <c r="AH176" s="529"/>
      <c r="AI176" s="529"/>
      <c r="AJ176" s="529"/>
      <c r="AK176" s="529"/>
      <c r="AL176" s="529"/>
      <c r="AM176" s="529"/>
      <c r="AN176" s="529"/>
      <c r="AO176" s="529"/>
      <c r="AP176" s="529"/>
      <c r="AQ176" s="529"/>
      <c r="AR176" s="529"/>
      <c r="AS176" s="529"/>
      <c r="AT176" s="529"/>
      <c r="AU176" s="529"/>
      <c r="AV176" s="529"/>
      <c r="AW176" s="529"/>
      <c r="AX176" s="530"/>
    </row>
    <row r="177" spans="1:50" ht="15" customHeight="1" x14ac:dyDescent="0.25">
      <c r="A177" s="533"/>
      <c r="B177" s="534"/>
      <c r="C177" s="534"/>
      <c r="D177" s="534"/>
      <c r="E177" s="534"/>
      <c r="F177" s="534"/>
      <c r="G177" s="534"/>
      <c r="H177" s="535" t="str">
        <f>IF(A176="","",LOOKUP(A176,BoonRef!$A$2:$A$430,BoonRef!$Q$2:$Q$430))</f>
        <v/>
      </c>
      <c r="I177" s="535"/>
      <c r="J177" s="529"/>
      <c r="K177" s="529"/>
      <c r="L177" s="529"/>
      <c r="M177" s="529"/>
      <c r="N177" s="529"/>
      <c r="O177" s="529"/>
      <c r="P177" s="529"/>
      <c r="Q177" s="529"/>
      <c r="R177" s="529"/>
      <c r="S177" s="529"/>
      <c r="T177" s="529"/>
      <c r="U177" s="529"/>
      <c r="V177" s="529"/>
      <c r="W177" s="529"/>
      <c r="X177" s="529"/>
      <c r="Y177" s="530"/>
      <c r="Z177" s="533"/>
      <c r="AA177" s="534"/>
      <c r="AB177" s="534"/>
      <c r="AC177" s="534"/>
      <c r="AD177" s="534"/>
      <c r="AE177" s="535"/>
      <c r="AF177" s="535"/>
      <c r="AG177" s="529"/>
      <c r="AH177" s="529"/>
      <c r="AI177" s="529"/>
      <c r="AJ177" s="529"/>
      <c r="AK177" s="529"/>
      <c r="AL177" s="529"/>
      <c r="AM177" s="529"/>
      <c r="AN177" s="529"/>
      <c r="AO177" s="529"/>
      <c r="AP177" s="529"/>
      <c r="AQ177" s="529"/>
      <c r="AR177" s="529"/>
      <c r="AS177" s="529"/>
      <c r="AT177" s="529"/>
      <c r="AU177" s="529"/>
      <c r="AV177" s="529"/>
      <c r="AW177" s="529"/>
      <c r="AX177" s="530"/>
    </row>
    <row r="178" spans="1:50" ht="15" customHeight="1" x14ac:dyDescent="0.25">
      <c r="A178" s="536" t="str">
        <f>IF(A176="","",LOOKUP(A176,BoonRef!$A$2:$A$430,BoonRef!$O$2:$O$430))</f>
        <v/>
      </c>
      <c r="B178" s="535"/>
      <c r="C178" s="535"/>
      <c r="D178" s="535"/>
      <c r="E178" s="535"/>
      <c r="F178" s="535"/>
      <c r="G178" s="535"/>
      <c r="H178" s="535"/>
      <c r="I178" s="535"/>
      <c r="J178" s="529"/>
      <c r="K178" s="529"/>
      <c r="L178" s="529"/>
      <c r="M178" s="529"/>
      <c r="N178" s="529"/>
      <c r="O178" s="529"/>
      <c r="P178" s="529"/>
      <c r="Q178" s="529"/>
      <c r="R178" s="529"/>
      <c r="S178" s="529"/>
      <c r="T178" s="529"/>
      <c r="U178" s="529"/>
      <c r="V178" s="529"/>
      <c r="W178" s="529"/>
      <c r="X178" s="529"/>
      <c r="Y178" s="530"/>
      <c r="Z178" s="536" t="str">
        <f>IF(Z176="","",LOOKUP(Z176,KanckRef!$A$2:$A$170,KanckRef!$D$2:$D$170))</f>
        <v/>
      </c>
      <c r="AA178" s="535"/>
      <c r="AB178" s="535"/>
      <c r="AC178" s="535"/>
      <c r="AD178" s="535"/>
      <c r="AE178" s="535"/>
      <c r="AF178" s="535"/>
      <c r="AG178" s="529"/>
      <c r="AH178" s="529"/>
      <c r="AI178" s="529"/>
      <c r="AJ178" s="529"/>
      <c r="AK178" s="529"/>
      <c r="AL178" s="529"/>
      <c r="AM178" s="529"/>
      <c r="AN178" s="529"/>
      <c r="AO178" s="529"/>
      <c r="AP178" s="529"/>
      <c r="AQ178" s="529"/>
      <c r="AR178" s="529"/>
      <c r="AS178" s="529"/>
      <c r="AT178" s="529"/>
      <c r="AU178" s="529"/>
      <c r="AV178" s="529"/>
      <c r="AW178" s="529"/>
      <c r="AX178" s="530"/>
    </row>
    <row r="179" spans="1:50" ht="15" customHeight="1" x14ac:dyDescent="0.25">
      <c r="A179" s="536" t="str">
        <f>IF(A176="","",LOOKUP(A176,BoonRef!$A$2:$A$430,BoonRef!$N$2:$N$430))</f>
        <v/>
      </c>
      <c r="B179" s="535"/>
      <c r="C179" s="535"/>
      <c r="D179" s="535"/>
      <c r="E179" s="535"/>
      <c r="F179" s="535"/>
      <c r="G179" s="535"/>
      <c r="H179" s="535"/>
      <c r="I179" s="535"/>
      <c r="J179" s="529"/>
      <c r="K179" s="529"/>
      <c r="L179" s="529"/>
      <c r="M179" s="529"/>
      <c r="N179" s="529"/>
      <c r="O179" s="529"/>
      <c r="P179" s="529"/>
      <c r="Q179" s="529"/>
      <c r="R179" s="529"/>
      <c r="S179" s="529"/>
      <c r="T179" s="529"/>
      <c r="U179" s="529"/>
      <c r="V179" s="529"/>
      <c r="W179" s="529"/>
      <c r="X179" s="529"/>
      <c r="Y179" s="530"/>
      <c r="Z179" s="536"/>
      <c r="AA179" s="535"/>
      <c r="AB179" s="535"/>
      <c r="AC179" s="535"/>
      <c r="AD179" s="535"/>
      <c r="AE179" s="535"/>
      <c r="AF179" s="535"/>
      <c r="AG179" s="529"/>
      <c r="AH179" s="529"/>
      <c r="AI179" s="529"/>
      <c r="AJ179" s="529"/>
      <c r="AK179" s="529"/>
      <c r="AL179" s="529"/>
      <c r="AM179" s="529"/>
      <c r="AN179" s="529"/>
      <c r="AO179" s="529"/>
      <c r="AP179" s="529"/>
      <c r="AQ179" s="529"/>
      <c r="AR179" s="529"/>
      <c r="AS179" s="529"/>
      <c r="AT179" s="529"/>
      <c r="AU179" s="529"/>
      <c r="AV179" s="529"/>
      <c r="AW179" s="529"/>
      <c r="AX179" s="530"/>
    </row>
    <row r="180" spans="1:50" ht="15" customHeight="1" thickBot="1" x14ac:dyDescent="0.3">
      <c r="A180" s="537"/>
      <c r="B180" s="538"/>
      <c r="C180" s="538"/>
      <c r="D180" s="538"/>
      <c r="E180" s="538"/>
      <c r="F180" s="538"/>
      <c r="G180" s="538"/>
      <c r="H180" s="538"/>
      <c r="I180" s="538"/>
      <c r="J180" s="531"/>
      <c r="K180" s="531"/>
      <c r="L180" s="531"/>
      <c r="M180" s="531"/>
      <c r="N180" s="531"/>
      <c r="O180" s="531"/>
      <c r="P180" s="531"/>
      <c r="Q180" s="531"/>
      <c r="R180" s="531"/>
      <c r="S180" s="531"/>
      <c r="T180" s="531"/>
      <c r="U180" s="531"/>
      <c r="V180" s="531"/>
      <c r="W180" s="531"/>
      <c r="X180" s="531"/>
      <c r="Y180" s="532"/>
      <c r="Z180" s="537"/>
      <c r="AA180" s="538"/>
      <c r="AB180" s="538"/>
      <c r="AC180" s="538"/>
      <c r="AD180" s="538"/>
      <c r="AE180" s="538"/>
      <c r="AF180" s="538"/>
      <c r="AG180" s="531"/>
      <c r="AH180" s="531"/>
      <c r="AI180" s="531"/>
      <c r="AJ180" s="531"/>
      <c r="AK180" s="531"/>
      <c r="AL180" s="531"/>
      <c r="AM180" s="531"/>
      <c r="AN180" s="531"/>
      <c r="AO180" s="531"/>
      <c r="AP180" s="531"/>
      <c r="AQ180" s="531"/>
      <c r="AR180" s="531"/>
      <c r="AS180" s="531"/>
      <c r="AT180" s="531"/>
      <c r="AU180" s="531"/>
      <c r="AV180" s="531"/>
      <c r="AW180" s="531"/>
      <c r="AX180" s="532"/>
    </row>
    <row r="181" spans="1:50" ht="15" customHeight="1" x14ac:dyDescent="0.25">
      <c r="A181" s="524"/>
      <c r="B181" s="525"/>
      <c r="C181" s="525"/>
      <c r="D181" s="525"/>
      <c r="E181" s="525"/>
      <c r="F181" s="525"/>
      <c r="G181" s="525"/>
      <c r="H181" s="526" t="str">
        <f>IF(A182="","",LOOKUP(A182,BoonRef!$A$2:$A$430,BoonRef!$C$2:$C$430))</f>
        <v/>
      </c>
      <c r="I181" s="526"/>
      <c r="J181" s="527"/>
      <c r="K181" s="527"/>
      <c r="L181" s="527"/>
      <c r="M181" s="527"/>
      <c r="N181" s="527"/>
      <c r="O181" s="527"/>
      <c r="P181" s="527"/>
      <c r="Q181" s="527"/>
      <c r="R181" s="527"/>
      <c r="S181" s="527"/>
      <c r="T181" s="527"/>
      <c r="U181" s="527"/>
      <c r="V181" s="527"/>
      <c r="W181" s="527"/>
      <c r="X181" s="527"/>
      <c r="Y181" s="528"/>
      <c r="Z181" s="524"/>
      <c r="AA181" s="525"/>
      <c r="AB181" s="525"/>
      <c r="AC181" s="525"/>
      <c r="AD181" s="525"/>
      <c r="AE181" s="526" t="str">
        <f>IF(Z182="","",LOOKUP(Z182,KanckRef!$A$2:$A$170,KanckRef!$E$2:$E$170))</f>
        <v/>
      </c>
      <c r="AF181" s="526"/>
      <c r="AG181" s="527"/>
      <c r="AH181" s="527"/>
      <c r="AI181" s="527"/>
      <c r="AJ181" s="527"/>
      <c r="AK181" s="527"/>
      <c r="AL181" s="527"/>
      <c r="AM181" s="527"/>
      <c r="AN181" s="527"/>
      <c r="AO181" s="527"/>
      <c r="AP181" s="527"/>
      <c r="AQ181" s="527"/>
      <c r="AR181" s="527"/>
      <c r="AS181" s="527"/>
      <c r="AT181" s="527"/>
      <c r="AU181" s="527"/>
      <c r="AV181" s="527"/>
      <c r="AW181" s="527"/>
      <c r="AX181" s="528"/>
    </row>
    <row r="182" spans="1:50" ht="15" customHeight="1" x14ac:dyDescent="0.25">
      <c r="A182" s="533"/>
      <c r="B182" s="534"/>
      <c r="C182" s="534"/>
      <c r="D182" s="534"/>
      <c r="E182" s="534"/>
      <c r="F182" s="534"/>
      <c r="G182" s="534"/>
      <c r="H182" s="535" t="str">
        <f>IF(A182="","",LOOKUP(A182,BoonRef!$A$2:$A$430,BoonRef!$P$2:$P$430))</f>
        <v/>
      </c>
      <c r="I182" s="535"/>
      <c r="J182" s="529"/>
      <c r="K182" s="529"/>
      <c r="L182" s="529"/>
      <c r="M182" s="529"/>
      <c r="N182" s="529"/>
      <c r="O182" s="529"/>
      <c r="P182" s="529"/>
      <c r="Q182" s="529"/>
      <c r="R182" s="529"/>
      <c r="S182" s="529"/>
      <c r="T182" s="529"/>
      <c r="U182" s="529"/>
      <c r="V182" s="529"/>
      <c r="W182" s="529"/>
      <c r="X182" s="529"/>
      <c r="Y182" s="530"/>
      <c r="Z182" s="533"/>
      <c r="AA182" s="534"/>
      <c r="AB182" s="534"/>
      <c r="AC182" s="534"/>
      <c r="AD182" s="534"/>
      <c r="AE182" s="535" t="str">
        <f>IF(Z182="","",LOOKUP(Z182,KanckRef!$A$2:$A$170,KanckRef!$F$2:$F$170))</f>
        <v/>
      </c>
      <c r="AF182" s="535"/>
      <c r="AG182" s="529"/>
      <c r="AH182" s="529"/>
      <c r="AI182" s="529"/>
      <c r="AJ182" s="529"/>
      <c r="AK182" s="529"/>
      <c r="AL182" s="529"/>
      <c r="AM182" s="529"/>
      <c r="AN182" s="529"/>
      <c r="AO182" s="529"/>
      <c r="AP182" s="529"/>
      <c r="AQ182" s="529"/>
      <c r="AR182" s="529"/>
      <c r="AS182" s="529"/>
      <c r="AT182" s="529"/>
      <c r="AU182" s="529"/>
      <c r="AV182" s="529"/>
      <c r="AW182" s="529"/>
      <c r="AX182" s="530"/>
    </row>
    <row r="183" spans="1:50" ht="15.75" customHeight="1" x14ac:dyDescent="0.25">
      <c r="A183" s="533"/>
      <c r="B183" s="534"/>
      <c r="C183" s="534"/>
      <c r="D183" s="534"/>
      <c r="E183" s="534"/>
      <c r="F183" s="534"/>
      <c r="G183" s="534"/>
      <c r="H183" s="535" t="str">
        <f>IF(A182="","",LOOKUP(A182,BoonRef!$A$2:$A$430,BoonRef!$Q$2:$Q$430))</f>
        <v/>
      </c>
      <c r="I183" s="535"/>
      <c r="J183" s="529"/>
      <c r="K183" s="529"/>
      <c r="L183" s="529"/>
      <c r="M183" s="529"/>
      <c r="N183" s="529"/>
      <c r="O183" s="529"/>
      <c r="P183" s="529"/>
      <c r="Q183" s="529"/>
      <c r="R183" s="529"/>
      <c r="S183" s="529"/>
      <c r="T183" s="529"/>
      <c r="U183" s="529"/>
      <c r="V183" s="529"/>
      <c r="W183" s="529"/>
      <c r="X183" s="529"/>
      <c r="Y183" s="530"/>
      <c r="Z183" s="533"/>
      <c r="AA183" s="534"/>
      <c r="AB183" s="534"/>
      <c r="AC183" s="534"/>
      <c r="AD183" s="534"/>
      <c r="AE183" s="535"/>
      <c r="AF183" s="535"/>
      <c r="AG183" s="529"/>
      <c r="AH183" s="529"/>
      <c r="AI183" s="529"/>
      <c r="AJ183" s="529"/>
      <c r="AK183" s="529"/>
      <c r="AL183" s="529"/>
      <c r="AM183" s="529"/>
      <c r="AN183" s="529"/>
      <c r="AO183" s="529"/>
      <c r="AP183" s="529"/>
      <c r="AQ183" s="529"/>
      <c r="AR183" s="529"/>
      <c r="AS183" s="529"/>
      <c r="AT183" s="529"/>
      <c r="AU183" s="529"/>
      <c r="AV183" s="529"/>
      <c r="AW183" s="529"/>
      <c r="AX183" s="530"/>
    </row>
    <row r="184" spans="1:50" x14ac:dyDescent="0.25">
      <c r="A184" s="536" t="str">
        <f>IF(A182="","",LOOKUP(A182,BoonRef!$A$2:$A$430,BoonRef!$O$2:$O$430))</f>
        <v/>
      </c>
      <c r="B184" s="535"/>
      <c r="C184" s="535"/>
      <c r="D184" s="535"/>
      <c r="E184" s="535"/>
      <c r="F184" s="535"/>
      <c r="G184" s="535"/>
      <c r="H184" s="535"/>
      <c r="I184" s="535"/>
      <c r="J184" s="529"/>
      <c r="K184" s="529"/>
      <c r="L184" s="529"/>
      <c r="M184" s="529"/>
      <c r="N184" s="529"/>
      <c r="O184" s="529"/>
      <c r="P184" s="529"/>
      <c r="Q184" s="529"/>
      <c r="R184" s="529"/>
      <c r="S184" s="529"/>
      <c r="T184" s="529"/>
      <c r="U184" s="529"/>
      <c r="V184" s="529"/>
      <c r="W184" s="529"/>
      <c r="X184" s="529"/>
      <c r="Y184" s="530"/>
      <c r="Z184" s="536" t="str">
        <f>IF(Z182="","",LOOKUP(Z182,KanckRef!$A$2:$A$170,KanckRef!$D$2:$D$170))</f>
        <v/>
      </c>
      <c r="AA184" s="535"/>
      <c r="AB184" s="535"/>
      <c r="AC184" s="535"/>
      <c r="AD184" s="535"/>
      <c r="AE184" s="535"/>
      <c r="AF184" s="535"/>
      <c r="AG184" s="529"/>
      <c r="AH184" s="529"/>
      <c r="AI184" s="529"/>
      <c r="AJ184" s="529"/>
      <c r="AK184" s="529"/>
      <c r="AL184" s="529"/>
      <c r="AM184" s="529"/>
      <c r="AN184" s="529"/>
      <c r="AO184" s="529"/>
      <c r="AP184" s="529"/>
      <c r="AQ184" s="529"/>
      <c r="AR184" s="529"/>
      <c r="AS184" s="529"/>
      <c r="AT184" s="529"/>
      <c r="AU184" s="529"/>
      <c r="AV184" s="529"/>
      <c r="AW184" s="529"/>
      <c r="AX184" s="530"/>
    </row>
    <row r="185" spans="1:50" ht="15" customHeight="1" x14ac:dyDescent="0.25">
      <c r="A185" s="536" t="str">
        <f>IF(A182="","",LOOKUP(A182,BoonRef!$A$2:$A$430,BoonRef!$N$2:$N$430))</f>
        <v/>
      </c>
      <c r="B185" s="535"/>
      <c r="C185" s="535"/>
      <c r="D185" s="535"/>
      <c r="E185" s="535"/>
      <c r="F185" s="535"/>
      <c r="G185" s="535"/>
      <c r="H185" s="535"/>
      <c r="I185" s="535"/>
      <c r="J185" s="529"/>
      <c r="K185" s="529"/>
      <c r="L185" s="529"/>
      <c r="M185" s="529"/>
      <c r="N185" s="529"/>
      <c r="O185" s="529"/>
      <c r="P185" s="529"/>
      <c r="Q185" s="529"/>
      <c r="R185" s="529"/>
      <c r="S185" s="529"/>
      <c r="T185" s="529"/>
      <c r="U185" s="529"/>
      <c r="V185" s="529"/>
      <c r="W185" s="529"/>
      <c r="X185" s="529"/>
      <c r="Y185" s="530"/>
      <c r="Z185" s="536"/>
      <c r="AA185" s="535"/>
      <c r="AB185" s="535"/>
      <c r="AC185" s="535"/>
      <c r="AD185" s="535"/>
      <c r="AE185" s="535"/>
      <c r="AF185" s="535"/>
      <c r="AG185" s="529"/>
      <c r="AH185" s="529"/>
      <c r="AI185" s="529"/>
      <c r="AJ185" s="529"/>
      <c r="AK185" s="529"/>
      <c r="AL185" s="529"/>
      <c r="AM185" s="529"/>
      <c r="AN185" s="529"/>
      <c r="AO185" s="529"/>
      <c r="AP185" s="529"/>
      <c r="AQ185" s="529"/>
      <c r="AR185" s="529"/>
      <c r="AS185" s="529"/>
      <c r="AT185" s="529"/>
      <c r="AU185" s="529"/>
      <c r="AV185" s="529"/>
      <c r="AW185" s="529"/>
      <c r="AX185" s="530"/>
    </row>
    <row r="186" spans="1:50" ht="15" customHeight="1" thickBot="1" x14ac:dyDescent="0.3">
      <c r="A186" s="537"/>
      <c r="B186" s="538"/>
      <c r="C186" s="538"/>
      <c r="D186" s="538"/>
      <c r="E186" s="538"/>
      <c r="F186" s="538"/>
      <c r="G186" s="538"/>
      <c r="H186" s="538"/>
      <c r="I186" s="538"/>
      <c r="J186" s="531"/>
      <c r="K186" s="531"/>
      <c r="L186" s="531"/>
      <c r="M186" s="531"/>
      <c r="N186" s="531"/>
      <c r="O186" s="531"/>
      <c r="P186" s="531"/>
      <c r="Q186" s="531"/>
      <c r="R186" s="531"/>
      <c r="S186" s="531"/>
      <c r="T186" s="531"/>
      <c r="U186" s="531"/>
      <c r="V186" s="531"/>
      <c r="W186" s="531"/>
      <c r="X186" s="531"/>
      <c r="Y186" s="532"/>
      <c r="Z186" s="537"/>
      <c r="AA186" s="538"/>
      <c r="AB186" s="538"/>
      <c r="AC186" s="538"/>
      <c r="AD186" s="538"/>
      <c r="AE186" s="538"/>
      <c r="AF186" s="538"/>
      <c r="AG186" s="531"/>
      <c r="AH186" s="531"/>
      <c r="AI186" s="531"/>
      <c r="AJ186" s="531"/>
      <c r="AK186" s="531"/>
      <c r="AL186" s="531"/>
      <c r="AM186" s="531"/>
      <c r="AN186" s="531"/>
      <c r="AO186" s="531"/>
      <c r="AP186" s="531"/>
      <c r="AQ186" s="531"/>
      <c r="AR186" s="531"/>
      <c r="AS186" s="531"/>
      <c r="AT186" s="531"/>
      <c r="AU186" s="531"/>
      <c r="AV186" s="531"/>
      <c r="AW186" s="531"/>
      <c r="AX186" s="532"/>
    </row>
    <row r="187" spans="1:50" x14ac:dyDescent="0.25">
      <c r="A187" s="524"/>
      <c r="B187" s="525"/>
      <c r="C187" s="525"/>
      <c r="D187" s="525"/>
      <c r="E187" s="525"/>
      <c r="F187" s="525"/>
      <c r="G187" s="525"/>
      <c r="H187" s="526" t="str">
        <f>IF(A188="","",LOOKUP(A188,BoonRef!$A$2:$A$430,BoonRef!$C$2:$C$430))</f>
        <v/>
      </c>
      <c r="I187" s="526"/>
      <c r="J187" s="527"/>
      <c r="K187" s="527"/>
      <c r="L187" s="527"/>
      <c r="M187" s="527"/>
      <c r="N187" s="527"/>
      <c r="O187" s="527"/>
      <c r="P187" s="527"/>
      <c r="Q187" s="527"/>
      <c r="R187" s="527"/>
      <c r="S187" s="527"/>
      <c r="T187" s="527"/>
      <c r="U187" s="527"/>
      <c r="V187" s="527"/>
      <c r="W187" s="527"/>
      <c r="X187" s="527"/>
      <c r="Y187" s="528"/>
      <c r="Z187" s="524"/>
      <c r="AA187" s="525"/>
      <c r="AB187" s="525"/>
      <c r="AC187" s="525"/>
      <c r="AD187" s="525"/>
      <c r="AE187" s="526" t="str">
        <f>IF(Z188="","",LOOKUP(Z188,KanckRef!$A$2:$A$170,KanckRef!$E$2:$E$170))</f>
        <v/>
      </c>
      <c r="AF187" s="526"/>
      <c r="AG187" s="527"/>
      <c r="AH187" s="527"/>
      <c r="AI187" s="527"/>
      <c r="AJ187" s="527"/>
      <c r="AK187" s="527"/>
      <c r="AL187" s="527"/>
      <c r="AM187" s="527"/>
      <c r="AN187" s="527"/>
      <c r="AO187" s="527"/>
      <c r="AP187" s="527"/>
      <c r="AQ187" s="527"/>
      <c r="AR187" s="527"/>
      <c r="AS187" s="527"/>
      <c r="AT187" s="527"/>
      <c r="AU187" s="527"/>
      <c r="AV187" s="527"/>
      <c r="AW187" s="527"/>
      <c r="AX187" s="528"/>
    </row>
    <row r="188" spans="1:50" x14ac:dyDescent="0.25">
      <c r="A188" s="533"/>
      <c r="B188" s="534"/>
      <c r="C188" s="534"/>
      <c r="D188" s="534"/>
      <c r="E188" s="534"/>
      <c r="F188" s="534"/>
      <c r="G188" s="534"/>
      <c r="H188" s="535" t="str">
        <f>IF(A188="","",LOOKUP(A188,BoonRef!$A$2:$A$430,BoonRef!$P$2:$P$430))</f>
        <v/>
      </c>
      <c r="I188" s="535"/>
      <c r="J188" s="529"/>
      <c r="K188" s="529"/>
      <c r="L188" s="529"/>
      <c r="M188" s="529"/>
      <c r="N188" s="529"/>
      <c r="O188" s="529"/>
      <c r="P188" s="529"/>
      <c r="Q188" s="529"/>
      <c r="R188" s="529"/>
      <c r="S188" s="529"/>
      <c r="T188" s="529"/>
      <c r="U188" s="529"/>
      <c r="V188" s="529"/>
      <c r="W188" s="529"/>
      <c r="X188" s="529"/>
      <c r="Y188" s="530"/>
      <c r="Z188" s="533"/>
      <c r="AA188" s="534"/>
      <c r="AB188" s="534"/>
      <c r="AC188" s="534"/>
      <c r="AD188" s="534"/>
      <c r="AE188" s="535" t="str">
        <f>IF(Z188="","",LOOKUP(Z188,KanckRef!$A$2:$A$170,KanckRef!$F$2:$F$170))</f>
        <v/>
      </c>
      <c r="AF188" s="535"/>
      <c r="AG188" s="529"/>
      <c r="AH188" s="529"/>
      <c r="AI188" s="529"/>
      <c r="AJ188" s="529"/>
      <c r="AK188" s="529"/>
      <c r="AL188" s="529"/>
      <c r="AM188" s="529"/>
      <c r="AN188" s="529"/>
      <c r="AO188" s="529"/>
      <c r="AP188" s="529"/>
      <c r="AQ188" s="529"/>
      <c r="AR188" s="529"/>
      <c r="AS188" s="529"/>
      <c r="AT188" s="529"/>
      <c r="AU188" s="529"/>
      <c r="AV188" s="529"/>
      <c r="AW188" s="529"/>
      <c r="AX188" s="530"/>
    </row>
    <row r="189" spans="1:50" x14ac:dyDescent="0.25">
      <c r="A189" s="533"/>
      <c r="B189" s="534"/>
      <c r="C189" s="534"/>
      <c r="D189" s="534"/>
      <c r="E189" s="534"/>
      <c r="F189" s="534"/>
      <c r="G189" s="534"/>
      <c r="H189" s="535" t="str">
        <f>IF(A188="","",LOOKUP(A188,BoonRef!$A$2:$A$430,BoonRef!$Q$2:$Q$430))</f>
        <v/>
      </c>
      <c r="I189" s="535"/>
      <c r="J189" s="529"/>
      <c r="K189" s="529"/>
      <c r="L189" s="529"/>
      <c r="M189" s="529"/>
      <c r="N189" s="529"/>
      <c r="O189" s="529"/>
      <c r="P189" s="529"/>
      <c r="Q189" s="529"/>
      <c r="R189" s="529"/>
      <c r="S189" s="529"/>
      <c r="T189" s="529"/>
      <c r="U189" s="529"/>
      <c r="V189" s="529"/>
      <c r="W189" s="529"/>
      <c r="X189" s="529"/>
      <c r="Y189" s="530"/>
      <c r="Z189" s="533"/>
      <c r="AA189" s="534"/>
      <c r="AB189" s="534"/>
      <c r="AC189" s="534"/>
      <c r="AD189" s="534"/>
      <c r="AE189" s="535"/>
      <c r="AF189" s="535"/>
      <c r="AG189" s="529"/>
      <c r="AH189" s="529"/>
      <c r="AI189" s="529"/>
      <c r="AJ189" s="529"/>
      <c r="AK189" s="529"/>
      <c r="AL189" s="529"/>
      <c r="AM189" s="529"/>
      <c r="AN189" s="529"/>
      <c r="AO189" s="529"/>
      <c r="AP189" s="529"/>
      <c r="AQ189" s="529"/>
      <c r="AR189" s="529"/>
      <c r="AS189" s="529"/>
      <c r="AT189" s="529"/>
      <c r="AU189" s="529"/>
      <c r="AV189" s="529"/>
      <c r="AW189" s="529"/>
      <c r="AX189" s="530"/>
    </row>
    <row r="190" spans="1:50" ht="15" customHeight="1" x14ac:dyDescent="0.25">
      <c r="A190" s="536" t="str">
        <f>IF(A188="","",LOOKUP(A188,BoonRef!$A$2:$A$430,BoonRef!$O$2:$O$430))</f>
        <v/>
      </c>
      <c r="B190" s="535"/>
      <c r="C190" s="535"/>
      <c r="D190" s="535"/>
      <c r="E190" s="535"/>
      <c r="F190" s="535"/>
      <c r="G190" s="535"/>
      <c r="H190" s="535"/>
      <c r="I190" s="535"/>
      <c r="J190" s="529"/>
      <c r="K190" s="529"/>
      <c r="L190" s="529"/>
      <c r="M190" s="529"/>
      <c r="N190" s="529"/>
      <c r="O190" s="529"/>
      <c r="P190" s="529"/>
      <c r="Q190" s="529"/>
      <c r="R190" s="529"/>
      <c r="S190" s="529"/>
      <c r="T190" s="529"/>
      <c r="U190" s="529"/>
      <c r="V190" s="529"/>
      <c r="W190" s="529"/>
      <c r="X190" s="529"/>
      <c r="Y190" s="530"/>
      <c r="Z190" s="536" t="str">
        <f>IF(Z188="","",LOOKUP(Z188,KanckRef!$A$2:$A$170,KanckRef!$D$2:$D$170))</f>
        <v/>
      </c>
      <c r="AA190" s="535"/>
      <c r="AB190" s="535"/>
      <c r="AC190" s="535"/>
      <c r="AD190" s="535"/>
      <c r="AE190" s="535"/>
      <c r="AF190" s="535"/>
      <c r="AG190" s="529"/>
      <c r="AH190" s="529"/>
      <c r="AI190" s="529"/>
      <c r="AJ190" s="529"/>
      <c r="AK190" s="529"/>
      <c r="AL190" s="529"/>
      <c r="AM190" s="529"/>
      <c r="AN190" s="529"/>
      <c r="AO190" s="529"/>
      <c r="AP190" s="529"/>
      <c r="AQ190" s="529"/>
      <c r="AR190" s="529"/>
      <c r="AS190" s="529"/>
      <c r="AT190" s="529"/>
      <c r="AU190" s="529"/>
      <c r="AV190" s="529"/>
      <c r="AW190" s="529"/>
      <c r="AX190" s="530"/>
    </row>
    <row r="191" spans="1:50" ht="15" customHeight="1" x14ac:dyDescent="0.25">
      <c r="A191" s="536" t="str">
        <f>IF(A188="","",LOOKUP(A188,BoonRef!$A$2:$A$430,BoonRef!$N$2:$N$430))</f>
        <v/>
      </c>
      <c r="B191" s="535"/>
      <c r="C191" s="535"/>
      <c r="D191" s="535"/>
      <c r="E191" s="535"/>
      <c r="F191" s="535"/>
      <c r="G191" s="535"/>
      <c r="H191" s="535"/>
      <c r="I191" s="535"/>
      <c r="J191" s="529"/>
      <c r="K191" s="529"/>
      <c r="L191" s="529"/>
      <c r="M191" s="529"/>
      <c r="N191" s="529"/>
      <c r="O191" s="529"/>
      <c r="P191" s="529"/>
      <c r="Q191" s="529"/>
      <c r="R191" s="529"/>
      <c r="S191" s="529"/>
      <c r="T191" s="529"/>
      <c r="U191" s="529"/>
      <c r="V191" s="529"/>
      <c r="W191" s="529"/>
      <c r="X191" s="529"/>
      <c r="Y191" s="530"/>
      <c r="Z191" s="536"/>
      <c r="AA191" s="535"/>
      <c r="AB191" s="535"/>
      <c r="AC191" s="535"/>
      <c r="AD191" s="535"/>
      <c r="AE191" s="535"/>
      <c r="AF191" s="535"/>
      <c r="AG191" s="529"/>
      <c r="AH191" s="529"/>
      <c r="AI191" s="529"/>
      <c r="AJ191" s="529"/>
      <c r="AK191" s="529"/>
      <c r="AL191" s="529"/>
      <c r="AM191" s="529"/>
      <c r="AN191" s="529"/>
      <c r="AO191" s="529"/>
      <c r="AP191" s="529"/>
      <c r="AQ191" s="529"/>
      <c r="AR191" s="529"/>
      <c r="AS191" s="529"/>
      <c r="AT191" s="529"/>
      <c r="AU191" s="529"/>
      <c r="AV191" s="529"/>
      <c r="AW191" s="529"/>
      <c r="AX191" s="530"/>
    </row>
    <row r="192" spans="1:50" ht="15.75" thickBot="1" x14ac:dyDescent="0.3">
      <c r="A192" s="537"/>
      <c r="B192" s="538"/>
      <c r="C192" s="538"/>
      <c r="D192" s="538"/>
      <c r="E192" s="538"/>
      <c r="F192" s="538"/>
      <c r="G192" s="538"/>
      <c r="H192" s="538"/>
      <c r="I192" s="538"/>
      <c r="J192" s="531"/>
      <c r="K192" s="531"/>
      <c r="L192" s="531"/>
      <c r="M192" s="531"/>
      <c r="N192" s="531"/>
      <c r="O192" s="531"/>
      <c r="P192" s="531"/>
      <c r="Q192" s="531"/>
      <c r="R192" s="531"/>
      <c r="S192" s="531"/>
      <c r="T192" s="531"/>
      <c r="U192" s="531"/>
      <c r="V192" s="531"/>
      <c r="W192" s="531"/>
      <c r="X192" s="531"/>
      <c r="Y192" s="532"/>
      <c r="Z192" s="537"/>
      <c r="AA192" s="538"/>
      <c r="AB192" s="538"/>
      <c r="AC192" s="538"/>
      <c r="AD192" s="538"/>
      <c r="AE192" s="538"/>
      <c r="AF192" s="538"/>
      <c r="AG192" s="531"/>
      <c r="AH192" s="531"/>
      <c r="AI192" s="531"/>
      <c r="AJ192" s="531"/>
      <c r="AK192" s="531"/>
      <c r="AL192" s="531"/>
      <c r="AM192" s="531"/>
      <c r="AN192" s="531"/>
      <c r="AO192" s="531"/>
      <c r="AP192" s="531"/>
      <c r="AQ192" s="531"/>
      <c r="AR192" s="531"/>
      <c r="AS192" s="531"/>
      <c r="AT192" s="531"/>
      <c r="AU192" s="531"/>
      <c r="AV192" s="531"/>
      <c r="AW192" s="531"/>
      <c r="AX192" s="532"/>
    </row>
    <row r="193" spans="1:50" x14ac:dyDescent="0.25">
      <c r="A193" s="524"/>
      <c r="B193" s="525"/>
      <c r="C193" s="525"/>
      <c r="D193" s="525"/>
      <c r="E193" s="525"/>
      <c r="F193" s="525"/>
      <c r="G193" s="525"/>
      <c r="H193" s="526" t="str">
        <f>IF(A194="","",LOOKUP(A194,BoonRef!$A$2:$A$430,BoonRef!$C$2:$C$430))</f>
        <v/>
      </c>
      <c r="I193" s="526"/>
      <c r="J193" s="527"/>
      <c r="K193" s="527"/>
      <c r="L193" s="527"/>
      <c r="M193" s="527"/>
      <c r="N193" s="527"/>
      <c r="O193" s="527"/>
      <c r="P193" s="527"/>
      <c r="Q193" s="527"/>
      <c r="R193" s="527"/>
      <c r="S193" s="527"/>
      <c r="T193" s="527"/>
      <c r="U193" s="527"/>
      <c r="V193" s="527"/>
      <c r="W193" s="527"/>
      <c r="X193" s="527"/>
      <c r="Y193" s="528"/>
      <c r="Z193" s="524"/>
      <c r="AA193" s="525"/>
      <c r="AB193" s="525"/>
      <c r="AC193" s="525"/>
      <c r="AD193" s="525"/>
      <c r="AE193" s="526" t="str">
        <f>IF(Z194="","",LOOKUP(Z194,KanckRef!$A$2:$A$170,KanckRef!$E$2:$E$170))</f>
        <v/>
      </c>
      <c r="AF193" s="526"/>
      <c r="AG193" s="527"/>
      <c r="AH193" s="527"/>
      <c r="AI193" s="527"/>
      <c r="AJ193" s="527"/>
      <c r="AK193" s="527"/>
      <c r="AL193" s="527"/>
      <c r="AM193" s="527"/>
      <c r="AN193" s="527"/>
      <c r="AO193" s="527"/>
      <c r="AP193" s="527"/>
      <c r="AQ193" s="527"/>
      <c r="AR193" s="527"/>
      <c r="AS193" s="527"/>
      <c r="AT193" s="527"/>
      <c r="AU193" s="527"/>
      <c r="AV193" s="527"/>
      <c r="AW193" s="527"/>
      <c r="AX193" s="528"/>
    </row>
    <row r="194" spans="1:50" x14ac:dyDescent="0.25">
      <c r="A194" s="533"/>
      <c r="B194" s="534"/>
      <c r="C194" s="534"/>
      <c r="D194" s="534"/>
      <c r="E194" s="534"/>
      <c r="F194" s="534"/>
      <c r="G194" s="534"/>
      <c r="H194" s="535" t="str">
        <f>IF(A194="","",LOOKUP(A194,BoonRef!$A$2:$A$430,BoonRef!$P$2:$P$430))</f>
        <v/>
      </c>
      <c r="I194" s="535"/>
      <c r="J194" s="529"/>
      <c r="K194" s="529"/>
      <c r="L194" s="529"/>
      <c r="M194" s="529"/>
      <c r="N194" s="529"/>
      <c r="O194" s="529"/>
      <c r="P194" s="529"/>
      <c r="Q194" s="529"/>
      <c r="R194" s="529"/>
      <c r="S194" s="529"/>
      <c r="T194" s="529"/>
      <c r="U194" s="529"/>
      <c r="V194" s="529"/>
      <c r="W194" s="529"/>
      <c r="X194" s="529"/>
      <c r="Y194" s="530"/>
      <c r="Z194" s="533"/>
      <c r="AA194" s="534"/>
      <c r="AB194" s="534"/>
      <c r="AC194" s="534"/>
      <c r="AD194" s="534"/>
      <c r="AE194" s="535" t="str">
        <f>IF(Z194="","",LOOKUP(Z194,KanckRef!$A$2:$A$170,KanckRef!$F$2:$F$170))</f>
        <v/>
      </c>
      <c r="AF194" s="535"/>
      <c r="AG194" s="529"/>
      <c r="AH194" s="529"/>
      <c r="AI194" s="529"/>
      <c r="AJ194" s="529"/>
      <c r="AK194" s="529"/>
      <c r="AL194" s="529"/>
      <c r="AM194" s="529"/>
      <c r="AN194" s="529"/>
      <c r="AO194" s="529"/>
      <c r="AP194" s="529"/>
      <c r="AQ194" s="529"/>
      <c r="AR194" s="529"/>
      <c r="AS194" s="529"/>
      <c r="AT194" s="529"/>
      <c r="AU194" s="529"/>
      <c r="AV194" s="529"/>
      <c r="AW194" s="529"/>
      <c r="AX194" s="530"/>
    </row>
    <row r="195" spans="1:50" ht="15" customHeight="1" x14ac:dyDescent="0.25">
      <c r="A195" s="533"/>
      <c r="B195" s="534"/>
      <c r="C195" s="534"/>
      <c r="D195" s="534"/>
      <c r="E195" s="534"/>
      <c r="F195" s="534"/>
      <c r="G195" s="534"/>
      <c r="H195" s="535" t="str">
        <f>IF(A194="","",LOOKUP(A194,BoonRef!$A$2:$A$430,BoonRef!$Q$2:$Q$430))</f>
        <v/>
      </c>
      <c r="I195" s="535"/>
      <c r="J195" s="529"/>
      <c r="K195" s="529"/>
      <c r="L195" s="529"/>
      <c r="M195" s="529"/>
      <c r="N195" s="529"/>
      <c r="O195" s="529"/>
      <c r="P195" s="529"/>
      <c r="Q195" s="529"/>
      <c r="R195" s="529"/>
      <c r="S195" s="529"/>
      <c r="T195" s="529"/>
      <c r="U195" s="529"/>
      <c r="V195" s="529"/>
      <c r="W195" s="529"/>
      <c r="X195" s="529"/>
      <c r="Y195" s="530"/>
      <c r="Z195" s="533"/>
      <c r="AA195" s="534"/>
      <c r="AB195" s="534"/>
      <c r="AC195" s="534"/>
      <c r="AD195" s="534"/>
      <c r="AE195" s="535"/>
      <c r="AF195" s="535"/>
      <c r="AG195" s="529"/>
      <c r="AH195" s="529"/>
      <c r="AI195" s="529"/>
      <c r="AJ195" s="529"/>
      <c r="AK195" s="529"/>
      <c r="AL195" s="529"/>
      <c r="AM195" s="529"/>
      <c r="AN195" s="529"/>
      <c r="AO195" s="529"/>
      <c r="AP195" s="529"/>
      <c r="AQ195" s="529"/>
      <c r="AR195" s="529"/>
      <c r="AS195" s="529"/>
      <c r="AT195" s="529"/>
      <c r="AU195" s="529"/>
      <c r="AV195" s="529"/>
      <c r="AW195" s="529"/>
      <c r="AX195" s="530"/>
    </row>
    <row r="196" spans="1:50" ht="15" customHeight="1" x14ac:dyDescent="0.25">
      <c r="A196" s="536" t="str">
        <f>IF(A194="","",LOOKUP(A194,BoonRef!$A$2:$A$430,BoonRef!$O$2:$O$430))</f>
        <v/>
      </c>
      <c r="B196" s="535"/>
      <c r="C196" s="535"/>
      <c r="D196" s="535"/>
      <c r="E196" s="535"/>
      <c r="F196" s="535"/>
      <c r="G196" s="535"/>
      <c r="H196" s="535"/>
      <c r="I196" s="535"/>
      <c r="J196" s="529"/>
      <c r="K196" s="529"/>
      <c r="L196" s="529"/>
      <c r="M196" s="529"/>
      <c r="N196" s="529"/>
      <c r="O196" s="529"/>
      <c r="P196" s="529"/>
      <c r="Q196" s="529"/>
      <c r="R196" s="529"/>
      <c r="S196" s="529"/>
      <c r="T196" s="529"/>
      <c r="U196" s="529"/>
      <c r="V196" s="529"/>
      <c r="W196" s="529"/>
      <c r="X196" s="529"/>
      <c r="Y196" s="530"/>
      <c r="Z196" s="536" t="str">
        <f>IF(Z194="","",LOOKUP(Z194,KanckRef!$A$2:$A$170,KanckRef!$D$2:$D$170))</f>
        <v/>
      </c>
      <c r="AA196" s="535"/>
      <c r="AB196" s="535"/>
      <c r="AC196" s="535"/>
      <c r="AD196" s="535"/>
      <c r="AE196" s="535"/>
      <c r="AF196" s="535"/>
      <c r="AG196" s="529"/>
      <c r="AH196" s="529"/>
      <c r="AI196" s="529"/>
      <c r="AJ196" s="529"/>
      <c r="AK196" s="529"/>
      <c r="AL196" s="529"/>
      <c r="AM196" s="529"/>
      <c r="AN196" s="529"/>
      <c r="AO196" s="529"/>
      <c r="AP196" s="529"/>
      <c r="AQ196" s="529"/>
      <c r="AR196" s="529"/>
      <c r="AS196" s="529"/>
      <c r="AT196" s="529"/>
      <c r="AU196" s="529"/>
      <c r="AV196" s="529"/>
      <c r="AW196" s="529"/>
      <c r="AX196" s="530"/>
    </row>
    <row r="197" spans="1:50" x14ac:dyDescent="0.25">
      <c r="A197" s="536" t="str">
        <f>IF(A194="","",LOOKUP(A194,BoonRef!$A$2:$A$430,BoonRef!$N$2:$N$430))</f>
        <v/>
      </c>
      <c r="B197" s="535"/>
      <c r="C197" s="535"/>
      <c r="D197" s="535"/>
      <c r="E197" s="535"/>
      <c r="F197" s="535"/>
      <c r="G197" s="535"/>
      <c r="H197" s="535"/>
      <c r="I197" s="535"/>
      <c r="J197" s="529"/>
      <c r="K197" s="529"/>
      <c r="L197" s="529"/>
      <c r="M197" s="529"/>
      <c r="N197" s="529"/>
      <c r="O197" s="529"/>
      <c r="P197" s="529"/>
      <c r="Q197" s="529"/>
      <c r="R197" s="529"/>
      <c r="S197" s="529"/>
      <c r="T197" s="529"/>
      <c r="U197" s="529"/>
      <c r="V197" s="529"/>
      <c r="W197" s="529"/>
      <c r="X197" s="529"/>
      <c r="Y197" s="530"/>
      <c r="Z197" s="536"/>
      <c r="AA197" s="535"/>
      <c r="AB197" s="535"/>
      <c r="AC197" s="535"/>
      <c r="AD197" s="535"/>
      <c r="AE197" s="535"/>
      <c r="AF197" s="535"/>
      <c r="AG197" s="529"/>
      <c r="AH197" s="529"/>
      <c r="AI197" s="529"/>
      <c r="AJ197" s="529"/>
      <c r="AK197" s="529"/>
      <c r="AL197" s="529"/>
      <c r="AM197" s="529"/>
      <c r="AN197" s="529"/>
      <c r="AO197" s="529"/>
      <c r="AP197" s="529"/>
      <c r="AQ197" s="529"/>
      <c r="AR197" s="529"/>
      <c r="AS197" s="529"/>
      <c r="AT197" s="529"/>
      <c r="AU197" s="529"/>
      <c r="AV197" s="529"/>
      <c r="AW197" s="529"/>
      <c r="AX197" s="530"/>
    </row>
    <row r="198" spans="1:50" ht="15.75" thickBot="1" x14ac:dyDescent="0.3">
      <c r="A198" s="537"/>
      <c r="B198" s="538"/>
      <c r="C198" s="538"/>
      <c r="D198" s="538"/>
      <c r="E198" s="538"/>
      <c r="F198" s="538"/>
      <c r="G198" s="538"/>
      <c r="H198" s="538"/>
      <c r="I198" s="538"/>
      <c r="J198" s="531"/>
      <c r="K198" s="531"/>
      <c r="L198" s="531"/>
      <c r="M198" s="531"/>
      <c r="N198" s="531"/>
      <c r="O198" s="531"/>
      <c r="P198" s="531"/>
      <c r="Q198" s="531"/>
      <c r="R198" s="531"/>
      <c r="S198" s="531"/>
      <c r="T198" s="531"/>
      <c r="U198" s="531"/>
      <c r="V198" s="531"/>
      <c r="W198" s="531"/>
      <c r="X198" s="531"/>
      <c r="Y198" s="532"/>
      <c r="Z198" s="537"/>
      <c r="AA198" s="538"/>
      <c r="AB198" s="538"/>
      <c r="AC198" s="538"/>
      <c r="AD198" s="538"/>
      <c r="AE198" s="538"/>
      <c r="AF198" s="538"/>
      <c r="AG198" s="531"/>
      <c r="AH198" s="531"/>
      <c r="AI198" s="531"/>
      <c r="AJ198" s="531"/>
      <c r="AK198" s="531"/>
      <c r="AL198" s="531"/>
      <c r="AM198" s="531"/>
      <c r="AN198" s="531"/>
      <c r="AO198" s="531"/>
      <c r="AP198" s="531"/>
      <c r="AQ198" s="531"/>
      <c r="AR198" s="531"/>
      <c r="AS198" s="531"/>
      <c r="AT198" s="531"/>
      <c r="AU198" s="531"/>
      <c r="AV198" s="531"/>
      <c r="AW198" s="531"/>
      <c r="AX198" s="532"/>
    </row>
    <row r="199" spans="1:50" x14ac:dyDescent="0.25">
      <c r="A199" s="524"/>
      <c r="B199" s="525"/>
      <c r="C199" s="525"/>
      <c r="D199" s="525"/>
      <c r="E199" s="525"/>
      <c r="F199" s="525"/>
      <c r="G199" s="525"/>
      <c r="H199" s="526" t="str">
        <f>IF(A200="","",LOOKUP(A200,BoonRef!$A$2:$A$430,BoonRef!$C$2:$C$430))</f>
        <v/>
      </c>
      <c r="I199" s="526"/>
      <c r="J199" s="527"/>
      <c r="K199" s="527"/>
      <c r="L199" s="527"/>
      <c r="M199" s="527"/>
      <c r="N199" s="527"/>
      <c r="O199" s="527"/>
      <c r="P199" s="527"/>
      <c r="Q199" s="527"/>
      <c r="R199" s="527"/>
      <c r="S199" s="527"/>
      <c r="T199" s="527"/>
      <c r="U199" s="527"/>
      <c r="V199" s="527"/>
      <c r="W199" s="527"/>
      <c r="X199" s="527"/>
      <c r="Y199" s="528"/>
      <c r="Z199" s="524"/>
      <c r="AA199" s="525"/>
      <c r="AB199" s="525"/>
      <c r="AC199" s="525"/>
      <c r="AD199" s="525"/>
      <c r="AE199" s="526" t="str">
        <f>IF(Z200="","",LOOKUP(Z200,KanckRef!$A$2:$A$170,KanckRef!$E$2:$E$170))</f>
        <v/>
      </c>
      <c r="AF199" s="526"/>
      <c r="AG199" s="527"/>
      <c r="AH199" s="527"/>
      <c r="AI199" s="527"/>
      <c r="AJ199" s="527"/>
      <c r="AK199" s="527"/>
      <c r="AL199" s="527"/>
      <c r="AM199" s="527"/>
      <c r="AN199" s="527"/>
      <c r="AO199" s="527"/>
      <c r="AP199" s="527"/>
      <c r="AQ199" s="527"/>
      <c r="AR199" s="527"/>
      <c r="AS199" s="527"/>
      <c r="AT199" s="527"/>
      <c r="AU199" s="527"/>
      <c r="AV199" s="527"/>
      <c r="AW199" s="527"/>
      <c r="AX199" s="528"/>
    </row>
    <row r="200" spans="1:50" ht="15" customHeight="1" x14ac:dyDescent="0.25">
      <c r="A200" s="533"/>
      <c r="B200" s="534"/>
      <c r="C200" s="534"/>
      <c r="D200" s="534"/>
      <c r="E200" s="534"/>
      <c r="F200" s="534"/>
      <c r="G200" s="534"/>
      <c r="H200" s="535" t="str">
        <f>IF(A200="","",LOOKUP(A200,BoonRef!$A$2:$A$430,BoonRef!$P$2:$P$430))</f>
        <v/>
      </c>
      <c r="I200" s="535"/>
      <c r="J200" s="529"/>
      <c r="K200" s="529"/>
      <c r="L200" s="529"/>
      <c r="M200" s="529"/>
      <c r="N200" s="529"/>
      <c r="O200" s="529"/>
      <c r="P200" s="529"/>
      <c r="Q200" s="529"/>
      <c r="R200" s="529"/>
      <c r="S200" s="529"/>
      <c r="T200" s="529"/>
      <c r="U200" s="529"/>
      <c r="V200" s="529"/>
      <c r="W200" s="529"/>
      <c r="X200" s="529"/>
      <c r="Y200" s="530"/>
      <c r="Z200" s="533"/>
      <c r="AA200" s="534"/>
      <c r="AB200" s="534"/>
      <c r="AC200" s="534"/>
      <c r="AD200" s="534"/>
      <c r="AE200" s="535" t="str">
        <f>IF(Z200="","",LOOKUP(Z200,KanckRef!$A$2:$A$170,KanckRef!$F$2:$F$170))</f>
        <v/>
      </c>
      <c r="AF200" s="535"/>
      <c r="AG200" s="529"/>
      <c r="AH200" s="529"/>
      <c r="AI200" s="529"/>
      <c r="AJ200" s="529"/>
      <c r="AK200" s="529"/>
      <c r="AL200" s="529"/>
      <c r="AM200" s="529"/>
      <c r="AN200" s="529"/>
      <c r="AO200" s="529"/>
      <c r="AP200" s="529"/>
      <c r="AQ200" s="529"/>
      <c r="AR200" s="529"/>
      <c r="AS200" s="529"/>
      <c r="AT200" s="529"/>
      <c r="AU200" s="529"/>
      <c r="AV200" s="529"/>
      <c r="AW200" s="529"/>
      <c r="AX200" s="530"/>
    </row>
    <row r="201" spans="1:50" ht="15" customHeight="1" x14ac:dyDescent="0.25">
      <c r="A201" s="533"/>
      <c r="B201" s="534"/>
      <c r="C201" s="534"/>
      <c r="D201" s="534"/>
      <c r="E201" s="534"/>
      <c r="F201" s="534"/>
      <c r="G201" s="534"/>
      <c r="H201" s="535" t="str">
        <f>IF(A200="","",LOOKUP(A200,BoonRef!$A$2:$A$430,BoonRef!$Q$2:$Q$430))</f>
        <v/>
      </c>
      <c r="I201" s="535"/>
      <c r="J201" s="529"/>
      <c r="K201" s="529"/>
      <c r="L201" s="529"/>
      <c r="M201" s="529"/>
      <c r="N201" s="529"/>
      <c r="O201" s="529"/>
      <c r="P201" s="529"/>
      <c r="Q201" s="529"/>
      <c r="R201" s="529"/>
      <c r="S201" s="529"/>
      <c r="T201" s="529"/>
      <c r="U201" s="529"/>
      <c r="V201" s="529"/>
      <c r="W201" s="529"/>
      <c r="X201" s="529"/>
      <c r="Y201" s="530"/>
      <c r="Z201" s="533"/>
      <c r="AA201" s="534"/>
      <c r="AB201" s="534"/>
      <c r="AC201" s="534"/>
      <c r="AD201" s="534"/>
      <c r="AE201" s="535"/>
      <c r="AF201" s="535"/>
      <c r="AG201" s="529"/>
      <c r="AH201" s="529"/>
      <c r="AI201" s="529"/>
      <c r="AJ201" s="529"/>
      <c r="AK201" s="529"/>
      <c r="AL201" s="529"/>
      <c r="AM201" s="529"/>
      <c r="AN201" s="529"/>
      <c r="AO201" s="529"/>
      <c r="AP201" s="529"/>
      <c r="AQ201" s="529"/>
      <c r="AR201" s="529"/>
      <c r="AS201" s="529"/>
      <c r="AT201" s="529"/>
      <c r="AU201" s="529"/>
      <c r="AV201" s="529"/>
      <c r="AW201" s="529"/>
      <c r="AX201" s="530"/>
    </row>
    <row r="202" spans="1:50" x14ac:dyDescent="0.25">
      <c r="A202" s="536" t="str">
        <f>IF(A200="","",LOOKUP(A200,BoonRef!$A$2:$A$430,BoonRef!$O$2:$O$430))</f>
        <v/>
      </c>
      <c r="B202" s="535"/>
      <c r="C202" s="535"/>
      <c r="D202" s="535"/>
      <c r="E202" s="535"/>
      <c r="F202" s="535"/>
      <c r="G202" s="535"/>
      <c r="H202" s="535"/>
      <c r="I202" s="535"/>
      <c r="J202" s="529"/>
      <c r="K202" s="529"/>
      <c r="L202" s="529"/>
      <c r="M202" s="529"/>
      <c r="N202" s="529"/>
      <c r="O202" s="529"/>
      <c r="P202" s="529"/>
      <c r="Q202" s="529"/>
      <c r="R202" s="529"/>
      <c r="S202" s="529"/>
      <c r="T202" s="529"/>
      <c r="U202" s="529"/>
      <c r="V202" s="529"/>
      <c r="W202" s="529"/>
      <c r="X202" s="529"/>
      <c r="Y202" s="530"/>
      <c r="Z202" s="536" t="str">
        <f>IF(Z200="","",LOOKUP(Z200,KanckRef!$A$2:$A$170,KanckRef!$D$2:$D$170))</f>
        <v/>
      </c>
      <c r="AA202" s="535"/>
      <c r="AB202" s="535"/>
      <c r="AC202" s="535"/>
      <c r="AD202" s="535"/>
      <c r="AE202" s="535"/>
      <c r="AF202" s="535"/>
      <c r="AG202" s="529"/>
      <c r="AH202" s="529"/>
      <c r="AI202" s="529"/>
      <c r="AJ202" s="529"/>
      <c r="AK202" s="529"/>
      <c r="AL202" s="529"/>
      <c r="AM202" s="529"/>
      <c r="AN202" s="529"/>
      <c r="AO202" s="529"/>
      <c r="AP202" s="529"/>
      <c r="AQ202" s="529"/>
      <c r="AR202" s="529"/>
      <c r="AS202" s="529"/>
      <c r="AT202" s="529"/>
      <c r="AU202" s="529"/>
      <c r="AV202" s="529"/>
      <c r="AW202" s="529"/>
      <c r="AX202" s="530"/>
    </row>
    <row r="203" spans="1:50" x14ac:dyDescent="0.25">
      <c r="A203" s="536" t="str">
        <f>IF(A200="","",LOOKUP(A200,BoonRef!$A$2:$A$430,BoonRef!$N$2:$N$430))</f>
        <v/>
      </c>
      <c r="B203" s="535"/>
      <c r="C203" s="535"/>
      <c r="D203" s="535"/>
      <c r="E203" s="535"/>
      <c r="F203" s="535"/>
      <c r="G203" s="535"/>
      <c r="H203" s="535"/>
      <c r="I203" s="535"/>
      <c r="J203" s="529"/>
      <c r="K203" s="529"/>
      <c r="L203" s="529"/>
      <c r="M203" s="529"/>
      <c r="N203" s="529"/>
      <c r="O203" s="529"/>
      <c r="P203" s="529"/>
      <c r="Q203" s="529"/>
      <c r="R203" s="529"/>
      <c r="S203" s="529"/>
      <c r="T203" s="529"/>
      <c r="U203" s="529"/>
      <c r="V203" s="529"/>
      <c r="W203" s="529"/>
      <c r="X203" s="529"/>
      <c r="Y203" s="530"/>
      <c r="Z203" s="536"/>
      <c r="AA203" s="535"/>
      <c r="AB203" s="535"/>
      <c r="AC203" s="535"/>
      <c r="AD203" s="535"/>
      <c r="AE203" s="535"/>
      <c r="AF203" s="535"/>
      <c r="AG203" s="529"/>
      <c r="AH203" s="529"/>
      <c r="AI203" s="529"/>
      <c r="AJ203" s="529"/>
      <c r="AK203" s="529"/>
      <c r="AL203" s="529"/>
      <c r="AM203" s="529"/>
      <c r="AN203" s="529"/>
      <c r="AO203" s="529"/>
      <c r="AP203" s="529"/>
      <c r="AQ203" s="529"/>
      <c r="AR203" s="529"/>
      <c r="AS203" s="529"/>
      <c r="AT203" s="529"/>
      <c r="AU203" s="529"/>
      <c r="AV203" s="529"/>
      <c r="AW203" s="529"/>
      <c r="AX203" s="530"/>
    </row>
    <row r="204" spans="1:50" ht="15.75" thickBot="1" x14ac:dyDescent="0.3">
      <c r="A204" s="537"/>
      <c r="B204" s="538"/>
      <c r="C204" s="538"/>
      <c r="D204" s="538"/>
      <c r="E204" s="538"/>
      <c r="F204" s="538"/>
      <c r="G204" s="538"/>
      <c r="H204" s="538"/>
      <c r="I204" s="538"/>
      <c r="J204" s="531"/>
      <c r="K204" s="531"/>
      <c r="L204" s="531"/>
      <c r="M204" s="531"/>
      <c r="N204" s="531"/>
      <c r="O204" s="531"/>
      <c r="P204" s="531"/>
      <c r="Q204" s="531"/>
      <c r="R204" s="531"/>
      <c r="S204" s="531"/>
      <c r="T204" s="531"/>
      <c r="U204" s="531"/>
      <c r="V204" s="531"/>
      <c r="W204" s="531"/>
      <c r="X204" s="531"/>
      <c r="Y204" s="532"/>
      <c r="Z204" s="537"/>
      <c r="AA204" s="538"/>
      <c r="AB204" s="538"/>
      <c r="AC204" s="538"/>
      <c r="AD204" s="538"/>
      <c r="AE204" s="538"/>
      <c r="AF204" s="538"/>
      <c r="AG204" s="531"/>
      <c r="AH204" s="531"/>
      <c r="AI204" s="531"/>
      <c r="AJ204" s="531"/>
      <c r="AK204" s="531"/>
      <c r="AL204" s="531"/>
      <c r="AM204" s="531"/>
      <c r="AN204" s="531"/>
      <c r="AO204" s="531"/>
      <c r="AP204" s="531"/>
      <c r="AQ204" s="531"/>
      <c r="AR204" s="531"/>
      <c r="AS204" s="531"/>
      <c r="AT204" s="531"/>
      <c r="AU204" s="531"/>
      <c r="AV204" s="531"/>
      <c r="AW204" s="531"/>
      <c r="AX204" s="532"/>
    </row>
    <row r="205" spans="1:50" ht="15" customHeight="1" x14ac:dyDescent="0.25">
      <c r="A205" s="524"/>
      <c r="B205" s="525"/>
      <c r="C205" s="525"/>
      <c r="D205" s="525"/>
      <c r="E205" s="525"/>
      <c r="F205" s="525"/>
      <c r="G205" s="525"/>
      <c r="H205" s="526" t="str">
        <f>IF(A206="","",LOOKUP(A206,BoonRef!$A$2:$A$430,BoonRef!$C$2:$C$430))</f>
        <v/>
      </c>
      <c r="I205" s="526"/>
      <c r="J205" s="527"/>
      <c r="K205" s="527"/>
      <c r="L205" s="527"/>
      <c r="M205" s="527"/>
      <c r="N205" s="527"/>
      <c r="O205" s="527"/>
      <c r="P205" s="527"/>
      <c r="Q205" s="527"/>
      <c r="R205" s="527"/>
      <c r="S205" s="527"/>
      <c r="T205" s="527"/>
      <c r="U205" s="527"/>
      <c r="V205" s="527"/>
      <c r="W205" s="527"/>
      <c r="X205" s="527"/>
      <c r="Y205" s="528"/>
      <c r="Z205" s="524"/>
      <c r="AA205" s="525"/>
      <c r="AB205" s="525"/>
      <c r="AC205" s="525"/>
      <c r="AD205" s="525"/>
      <c r="AE205" s="526" t="str">
        <f>IF(Z206="","",LOOKUP(Z206,KanckRef!$A$2:$A$170,KanckRef!$E$2:$E$170))</f>
        <v/>
      </c>
      <c r="AF205" s="526"/>
      <c r="AG205" s="527"/>
      <c r="AH205" s="527"/>
      <c r="AI205" s="527"/>
      <c r="AJ205" s="527"/>
      <c r="AK205" s="527"/>
      <c r="AL205" s="527"/>
      <c r="AM205" s="527"/>
      <c r="AN205" s="527"/>
      <c r="AO205" s="527"/>
      <c r="AP205" s="527"/>
      <c r="AQ205" s="527"/>
      <c r="AR205" s="527"/>
      <c r="AS205" s="527"/>
      <c r="AT205" s="527"/>
      <c r="AU205" s="527"/>
      <c r="AV205" s="527"/>
      <c r="AW205" s="527"/>
      <c r="AX205" s="528"/>
    </row>
    <row r="206" spans="1:50" ht="15" customHeight="1" x14ac:dyDescent="0.25">
      <c r="A206" s="533"/>
      <c r="B206" s="534"/>
      <c r="C206" s="534"/>
      <c r="D206" s="534"/>
      <c r="E206" s="534"/>
      <c r="F206" s="534"/>
      <c r="G206" s="534"/>
      <c r="H206" s="535" t="str">
        <f>IF(A206="","",LOOKUP(A206,BoonRef!$A$2:$A$430,BoonRef!$P$2:$P$430))</f>
        <v/>
      </c>
      <c r="I206" s="535"/>
      <c r="J206" s="529"/>
      <c r="K206" s="529"/>
      <c r="L206" s="529"/>
      <c r="M206" s="529"/>
      <c r="N206" s="529"/>
      <c r="O206" s="529"/>
      <c r="P206" s="529"/>
      <c r="Q206" s="529"/>
      <c r="R206" s="529"/>
      <c r="S206" s="529"/>
      <c r="T206" s="529"/>
      <c r="U206" s="529"/>
      <c r="V206" s="529"/>
      <c r="W206" s="529"/>
      <c r="X206" s="529"/>
      <c r="Y206" s="530"/>
      <c r="Z206" s="533"/>
      <c r="AA206" s="534"/>
      <c r="AB206" s="534"/>
      <c r="AC206" s="534"/>
      <c r="AD206" s="534"/>
      <c r="AE206" s="535" t="str">
        <f>IF(Z206="","",LOOKUP(Z206,KanckRef!$A$2:$A$170,KanckRef!$F$2:$F$170))</f>
        <v/>
      </c>
      <c r="AF206" s="535"/>
      <c r="AG206" s="529"/>
      <c r="AH206" s="529"/>
      <c r="AI206" s="529"/>
      <c r="AJ206" s="529"/>
      <c r="AK206" s="529"/>
      <c r="AL206" s="529"/>
      <c r="AM206" s="529"/>
      <c r="AN206" s="529"/>
      <c r="AO206" s="529"/>
      <c r="AP206" s="529"/>
      <c r="AQ206" s="529"/>
      <c r="AR206" s="529"/>
      <c r="AS206" s="529"/>
      <c r="AT206" s="529"/>
      <c r="AU206" s="529"/>
      <c r="AV206" s="529"/>
      <c r="AW206" s="529"/>
      <c r="AX206" s="530"/>
    </row>
    <row r="207" spans="1:50" x14ac:dyDescent="0.25">
      <c r="A207" s="533"/>
      <c r="B207" s="534"/>
      <c r="C207" s="534"/>
      <c r="D207" s="534"/>
      <c r="E207" s="534"/>
      <c r="F207" s="534"/>
      <c r="G207" s="534"/>
      <c r="H207" s="535" t="str">
        <f>IF(A206="","",LOOKUP(A206,BoonRef!$A$2:$A$430,BoonRef!$Q$2:$Q$430))</f>
        <v/>
      </c>
      <c r="I207" s="535"/>
      <c r="J207" s="529"/>
      <c r="K207" s="529"/>
      <c r="L207" s="529"/>
      <c r="M207" s="529"/>
      <c r="N207" s="529"/>
      <c r="O207" s="529"/>
      <c r="P207" s="529"/>
      <c r="Q207" s="529"/>
      <c r="R207" s="529"/>
      <c r="S207" s="529"/>
      <c r="T207" s="529"/>
      <c r="U207" s="529"/>
      <c r="V207" s="529"/>
      <c r="W207" s="529"/>
      <c r="X207" s="529"/>
      <c r="Y207" s="530"/>
      <c r="Z207" s="533"/>
      <c r="AA207" s="534"/>
      <c r="AB207" s="534"/>
      <c r="AC207" s="534"/>
      <c r="AD207" s="534"/>
      <c r="AE207" s="535"/>
      <c r="AF207" s="535"/>
      <c r="AG207" s="529"/>
      <c r="AH207" s="529"/>
      <c r="AI207" s="529"/>
      <c r="AJ207" s="529"/>
      <c r="AK207" s="529"/>
      <c r="AL207" s="529"/>
      <c r="AM207" s="529"/>
      <c r="AN207" s="529"/>
      <c r="AO207" s="529"/>
      <c r="AP207" s="529"/>
      <c r="AQ207" s="529"/>
      <c r="AR207" s="529"/>
      <c r="AS207" s="529"/>
      <c r="AT207" s="529"/>
      <c r="AU207" s="529"/>
      <c r="AV207" s="529"/>
      <c r="AW207" s="529"/>
      <c r="AX207" s="530"/>
    </row>
    <row r="208" spans="1:50" x14ac:dyDescent="0.25">
      <c r="A208" s="536" t="str">
        <f>IF(A206="","",LOOKUP(A206,BoonRef!$A$2:$A$430,BoonRef!$O$2:$O$430))</f>
        <v/>
      </c>
      <c r="B208" s="535"/>
      <c r="C208" s="535"/>
      <c r="D208" s="535"/>
      <c r="E208" s="535"/>
      <c r="F208" s="535"/>
      <c r="G208" s="535"/>
      <c r="H208" s="535"/>
      <c r="I208" s="535"/>
      <c r="J208" s="529"/>
      <c r="K208" s="529"/>
      <c r="L208" s="529"/>
      <c r="M208" s="529"/>
      <c r="N208" s="529"/>
      <c r="O208" s="529"/>
      <c r="P208" s="529"/>
      <c r="Q208" s="529"/>
      <c r="R208" s="529"/>
      <c r="S208" s="529"/>
      <c r="T208" s="529"/>
      <c r="U208" s="529"/>
      <c r="V208" s="529"/>
      <c r="W208" s="529"/>
      <c r="X208" s="529"/>
      <c r="Y208" s="530"/>
      <c r="Z208" s="536" t="str">
        <f>IF(Z206="","",LOOKUP(Z206,KanckRef!$A$2:$A$170,KanckRef!$D$2:$D$170))</f>
        <v/>
      </c>
      <c r="AA208" s="535"/>
      <c r="AB208" s="535"/>
      <c r="AC208" s="535"/>
      <c r="AD208" s="535"/>
      <c r="AE208" s="535"/>
      <c r="AF208" s="535"/>
      <c r="AG208" s="529"/>
      <c r="AH208" s="529"/>
      <c r="AI208" s="529"/>
      <c r="AJ208" s="529"/>
      <c r="AK208" s="529"/>
      <c r="AL208" s="529"/>
      <c r="AM208" s="529"/>
      <c r="AN208" s="529"/>
      <c r="AO208" s="529"/>
      <c r="AP208" s="529"/>
      <c r="AQ208" s="529"/>
      <c r="AR208" s="529"/>
      <c r="AS208" s="529"/>
      <c r="AT208" s="529"/>
      <c r="AU208" s="529"/>
      <c r="AV208" s="529"/>
      <c r="AW208" s="529"/>
      <c r="AX208" s="530"/>
    </row>
    <row r="209" spans="1:50" x14ac:dyDescent="0.25">
      <c r="A209" s="536" t="str">
        <f>IF(A206="","",LOOKUP(A206,BoonRef!$A$2:$A$430,BoonRef!$N$2:$N$430))</f>
        <v/>
      </c>
      <c r="B209" s="535"/>
      <c r="C209" s="535"/>
      <c r="D209" s="535"/>
      <c r="E209" s="535"/>
      <c r="F209" s="535"/>
      <c r="G209" s="535"/>
      <c r="H209" s="535"/>
      <c r="I209" s="535"/>
      <c r="J209" s="529"/>
      <c r="K209" s="529"/>
      <c r="L209" s="529"/>
      <c r="M209" s="529"/>
      <c r="N209" s="529"/>
      <c r="O209" s="529"/>
      <c r="P209" s="529"/>
      <c r="Q209" s="529"/>
      <c r="R209" s="529"/>
      <c r="S209" s="529"/>
      <c r="T209" s="529"/>
      <c r="U209" s="529"/>
      <c r="V209" s="529"/>
      <c r="W209" s="529"/>
      <c r="X209" s="529"/>
      <c r="Y209" s="530"/>
      <c r="Z209" s="536"/>
      <c r="AA209" s="535"/>
      <c r="AB209" s="535"/>
      <c r="AC209" s="535"/>
      <c r="AD209" s="535"/>
      <c r="AE209" s="535"/>
      <c r="AF209" s="535"/>
      <c r="AG209" s="529"/>
      <c r="AH209" s="529"/>
      <c r="AI209" s="529"/>
      <c r="AJ209" s="529"/>
      <c r="AK209" s="529"/>
      <c r="AL209" s="529"/>
      <c r="AM209" s="529"/>
      <c r="AN209" s="529"/>
      <c r="AO209" s="529"/>
      <c r="AP209" s="529"/>
      <c r="AQ209" s="529"/>
      <c r="AR209" s="529"/>
      <c r="AS209" s="529"/>
      <c r="AT209" s="529"/>
      <c r="AU209" s="529"/>
      <c r="AV209" s="529"/>
      <c r="AW209" s="529"/>
      <c r="AX209" s="530"/>
    </row>
    <row r="210" spans="1:50" ht="15" customHeight="1" thickBot="1" x14ac:dyDescent="0.3">
      <c r="A210" s="537"/>
      <c r="B210" s="538"/>
      <c r="C210" s="538"/>
      <c r="D210" s="538"/>
      <c r="E210" s="538"/>
      <c r="F210" s="538"/>
      <c r="G210" s="538"/>
      <c r="H210" s="538"/>
      <c r="I210" s="538"/>
      <c r="J210" s="531"/>
      <c r="K210" s="531"/>
      <c r="L210" s="531"/>
      <c r="M210" s="531"/>
      <c r="N210" s="531"/>
      <c r="O210" s="531"/>
      <c r="P210" s="531"/>
      <c r="Q210" s="531"/>
      <c r="R210" s="531"/>
      <c r="S210" s="531"/>
      <c r="T210" s="531"/>
      <c r="U210" s="531"/>
      <c r="V210" s="531"/>
      <c r="W210" s="531"/>
      <c r="X210" s="531"/>
      <c r="Y210" s="532"/>
      <c r="Z210" s="537"/>
      <c r="AA210" s="538"/>
      <c r="AB210" s="538"/>
      <c r="AC210" s="538"/>
      <c r="AD210" s="538"/>
      <c r="AE210" s="538"/>
      <c r="AF210" s="538"/>
      <c r="AG210" s="531"/>
      <c r="AH210" s="531"/>
      <c r="AI210" s="531"/>
      <c r="AJ210" s="531"/>
      <c r="AK210" s="531"/>
      <c r="AL210" s="531"/>
      <c r="AM210" s="531"/>
      <c r="AN210" s="531"/>
      <c r="AO210" s="531"/>
      <c r="AP210" s="531"/>
      <c r="AQ210" s="531"/>
      <c r="AR210" s="531"/>
      <c r="AS210" s="531"/>
      <c r="AT210" s="531"/>
      <c r="AU210" s="531"/>
      <c r="AV210" s="531"/>
      <c r="AW210" s="531"/>
      <c r="AX210" s="532"/>
    </row>
    <row r="211" spans="1:50" ht="15" customHeight="1" x14ac:dyDescent="0.25">
      <c r="A211" s="524"/>
      <c r="B211" s="525"/>
      <c r="C211" s="525"/>
      <c r="D211" s="525"/>
      <c r="E211" s="525"/>
      <c r="F211" s="525"/>
      <c r="G211" s="525"/>
      <c r="H211" s="526" t="str">
        <f>IF(A212="","",LOOKUP(A212,BoonRef!$A$2:$A$430,BoonRef!$C$2:$C$430))</f>
        <v/>
      </c>
      <c r="I211" s="526"/>
      <c r="J211" s="527"/>
      <c r="K211" s="527"/>
      <c r="L211" s="527"/>
      <c r="M211" s="527"/>
      <c r="N211" s="527"/>
      <c r="O211" s="527"/>
      <c r="P211" s="527"/>
      <c r="Q211" s="527"/>
      <c r="R211" s="527"/>
      <c r="S211" s="527"/>
      <c r="T211" s="527"/>
      <c r="U211" s="527"/>
      <c r="V211" s="527"/>
      <c r="W211" s="527"/>
      <c r="X211" s="527"/>
      <c r="Y211" s="528"/>
      <c r="Z211" s="524"/>
      <c r="AA211" s="525"/>
      <c r="AB211" s="525"/>
      <c r="AC211" s="525"/>
      <c r="AD211" s="525"/>
      <c r="AE211" s="526" t="str">
        <f>IF(Z212="","",LOOKUP(Z212,KanckRef!$A$2:$A$170,KanckRef!$E$2:$E$170))</f>
        <v/>
      </c>
      <c r="AF211" s="526"/>
      <c r="AG211" s="527"/>
      <c r="AH211" s="527"/>
      <c r="AI211" s="527"/>
      <c r="AJ211" s="527"/>
      <c r="AK211" s="527"/>
      <c r="AL211" s="527"/>
      <c r="AM211" s="527"/>
      <c r="AN211" s="527"/>
      <c r="AO211" s="527"/>
      <c r="AP211" s="527"/>
      <c r="AQ211" s="527"/>
      <c r="AR211" s="527"/>
      <c r="AS211" s="527"/>
      <c r="AT211" s="527"/>
      <c r="AU211" s="527"/>
      <c r="AV211" s="527"/>
      <c r="AW211" s="527"/>
      <c r="AX211" s="528"/>
    </row>
    <row r="212" spans="1:50" x14ac:dyDescent="0.25">
      <c r="A212" s="533"/>
      <c r="B212" s="534"/>
      <c r="C212" s="534"/>
      <c r="D212" s="534"/>
      <c r="E212" s="534"/>
      <c r="F212" s="534"/>
      <c r="G212" s="534"/>
      <c r="H212" s="535" t="str">
        <f>IF(A212="","",LOOKUP(A212,BoonRef!$A$2:$A$430,BoonRef!$P$2:$P$430))</f>
        <v/>
      </c>
      <c r="I212" s="535"/>
      <c r="J212" s="529"/>
      <c r="K212" s="529"/>
      <c r="L212" s="529"/>
      <c r="M212" s="529"/>
      <c r="N212" s="529"/>
      <c r="O212" s="529"/>
      <c r="P212" s="529"/>
      <c r="Q212" s="529"/>
      <c r="R212" s="529"/>
      <c r="S212" s="529"/>
      <c r="T212" s="529"/>
      <c r="U212" s="529"/>
      <c r="V212" s="529"/>
      <c r="W212" s="529"/>
      <c r="X212" s="529"/>
      <c r="Y212" s="530"/>
      <c r="Z212" s="533"/>
      <c r="AA212" s="534"/>
      <c r="AB212" s="534"/>
      <c r="AC212" s="534"/>
      <c r="AD212" s="534"/>
      <c r="AE212" s="535" t="str">
        <f>IF(Z212="","",LOOKUP(Z212,KanckRef!$A$2:$A$170,KanckRef!$F$2:$F$170))</f>
        <v/>
      </c>
      <c r="AF212" s="535"/>
      <c r="AG212" s="529"/>
      <c r="AH212" s="529"/>
      <c r="AI212" s="529"/>
      <c r="AJ212" s="529"/>
      <c r="AK212" s="529"/>
      <c r="AL212" s="529"/>
      <c r="AM212" s="529"/>
      <c r="AN212" s="529"/>
      <c r="AO212" s="529"/>
      <c r="AP212" s="529"/>
      <c r="AQ212" s="529"/>
      <c r="AR212" s="529"/>
      <c r="AS212" s="529"/>
      <c r="AT212" s="529"/>
      <c r="AU212" s="529"/>
      <c r="AV212" s="529"/>
      <c r="AW212" s="529"/>
      <c r="AX212" s="530"/>
    </row>
    <row r="213" spans="1:50" x14ac:dyDescent="0.25">
      <c r="A213" s="533"/>
      <c r="B213" s="534"/>
      <c r="C213" s="534"/>
      <c r="D213" s="534"/>
      <c r="E213" s="534"/>
      <c r="F213" s="534"/>
      <c r="G213" s="534"/>
      <c r="H213" s="535" t="str">
        <f>IF(A212="","",LOOKUP(A212,BoonRef!$A$2:$A$430,BoonRef!$Q$2:$Q$430))</f>
        <v/>
      </c>
      <c r="I213" s="535"/>
      <c r="J213" s="529"/>
      <c r="K213" s="529"/>
      <c r="L213" s="529"/>
      <c r="M213" s="529"/>
      <c r="N213" s="529"/>
      <c r="O213" s="529"/>
      <c r="P213" s="529"/>
      <c r="Q213" s="529"/>
      <c r="R213" s="529"/>
      <c r="S213" s="529"/>
      <c r="T213" s="529"/>
      <c r="U213" s="529"/>
      <c r="V213" s="529"/>
      <c r="W213" s="529"/>
      <c r="X213" s="529"/>
      <c r="Y213" s="530"/>
      <c r="Z213" s="533"/>
      <c r="AA213" s="534"/>
      <c r="AB213" s="534"/>
      <c r="AC213" s="534"/>
      <c r="AD213" s="534"/>
      <c r="AE213" s="535"/>
      <c r="AF213" s="535"/>
      <c r="AG213" s="529"/>
      <c r="AH213" s="529"/>
      <c r="AI213" s="529"/>
      <c r="AJ213" s="529"/>
      <c r="AK213" s="529"/>
      <c r="AL213" s="529"/>
      <c r="AM213" s="529"/>
      <c r="AN213" s="529"/>
      <c r="AO213" s="529"/>
      <c r="AP213" s="529"/>
      <c r="AQ213" s="529"/>
      <c r="AR213" s="529"/>
      <c r="AS213" s="529"/>
      <c r="AT213" s="529"/>
      <c r="AU213" s="529"/>
      <c r="AV213" s="529"/>
      <c r="AW213" s="529"/>
      <c r="AX213" s="530"/>
    </row>
    <row r="214" spans="1:50" x14ac:dyDescent="0.25">
      <c r="A214" s="536" t="str">
        <f>IF(A212="","",LOOKUP(A212,BoonRef!$A$2:$A$430,BoonRef!$O$2:$O$430))</f>
        <v/>
      </c>
      <c r="B214" s="535"/>
      <c r="C214" s="535"/>
      <c r="D214" s="535"/>
      <c r="E214" s="535"/>
      <c r="F214" s="535"/>
      <c r="G214" s="535"/>
      <c r="H214" s="535"/>
      <c r="I214" s="535"/>
      <c r="J214" s="529"/>
      <c r="K214" s="529"/>
      <c r="L214" s="529"/>
      <c r="M214" s="529"/>
      <c r="N214" s="529"/>
      <c r="O214" s="529"/>
      <c r="P214" s="529"/>
      <c r="Q214" s="529"/>
      <c r="R214" s="529"/>
      <c r="S214" s="529"/>
      <c r="T214" s="529"/>
      <c r="U214" s="529"/>
      <c r="V214" s="529"/>
      <c r="W214" s="529"/>
      <c r="X214" s="529"/>
      <c r="Y214" s="530"/>
      <c r="Z214" s="536" t="str">
        <f>IF(Z212="","",LOOKUP(Z212,KanckRef!$A$2:$A$170,KanckRef!$D$2:$D$170))</f>
        <v/>
      </c>
      <c r="AA214" s="535"/>
      <c r="AB214" s="535"/>
      <c r="AC214" s="535"/>
      <c r="AD214" s="535"/>
      <c r="AE214" s="535"/>
      <c r="AF214" s="535"/>
      <c r="AG214" s="529"/>
      <c r="AH214" s="529"/>
      <c r="AI214" s="529"/>
      <c r="AJ214" s="529"/>
      <c r="AK214" s="529"/>
      <c r="AL214" s="529"/>
      <c r="AM214" s="529"/>
      <c r="AN214" s="529"/>
      <c r="AO214" s="529"/>
      <c r="AP214" s="529"/>
      <c r="AQ214" s="529"/>
      <c r="AR214" s="529"/>
      <c r="AS214" s="529"/>
      <c r="AT214" s="529"/>
      <c r="AU214" s="529"/>
      <c r="AV214" s="529"/>
      <c r="AW214" s="529"/>
      <c r="AX214" s="530"/>
    </row>
    <row r="215" spans="1:50" ht="15" customHeight="1" x14ac:dyDescent="0.25">
      <c r="A215" s="536" t="str">
        <f>IF(A212="","",LOOKUP(A212,BoonRef!$A$2:$A$430,BoonRef!$N$2:$N$430))</f>
        <v/>
      </c>
      <c r="B215" s="535"/>
      <c r="C215" s="535"/>
      <c r="D215" s="535"/>
      <c r="E215" s="535"/>
      <c r="F215" s="535"/>
      <c r="G215" s="535"/>
      <c r="H215" s="535"/>
      <c r="I215" s="535"/>
      <c r="J215" s="529"/>
      <c r="K215" s="529"/>
      <c r="L215" s="529"/>
      <c r="M215" s="529"/>
      <c r="N215" s="529"/>
      <c r="O215" s="529"/>
      <c r="P215" s="529"/>
      <c r="Q215" s="529"/>
      <c r="R215" s="529"/>
      <c r="S215" s="529"/>
      <c r="T215" s="529"/>
      <c r="U215" s="529"/>
      <c r="V215" s="529"/>
      <c r="W215" s="529"/>
      <c r="X215" s="529"/>
      <c r="Y215" s="530"/>
      <c r="Z215" s="536"/>
      <c r="AA215" s="535"/>
      <c r="AB215" s="535"/>
      <c r="AC215" s="535"/>
      <c r="AD215" s="535"/>
      <c r="AE215" s="535"/>
      <c r="AF215" s="535"/>
      <c r="AG215" s="529"/>
      <c r="AH215" s="529"/>
      <c r="AI215" s="529"/>
      <c r="AJ215" s="529"/>
      <c r="AK215" s="529"/>
      <c r="AL215" s="529"/>
      <c r="AM215" s="529"/>
      <c r="AN215" s="529"/>
      <c r="AO215" s="529"/>
      <c r="AP215" s="529"/>
      <c r="AQ215" s="529"/>
      <c r="AR215" s="529"/>
      <c r="AS215" s="529"/>
      <c r="AT215" s="529"/>
      <c r="AU215" s="529"/>
      <c r="AV215" s="529"/>
      <c r="AW215" s="529"/>
      <c r="AX215" s="530"/>
    </row>
    <row r="216" spans="1:50" ht="15" customHeight="1" thickBot="1" x14ac:dyDescent="0.3">
      <c r="A216" s="537"/>
      <c r="B216" s="538"/>
      <c r="C216" s="538"/>
      <c r="D216" s="538"/>
      <c r="E216" s="538"/>
      <c r="F216" s="538"/>
      <c r="G216" s="538"/>
      <c r="H216" s="538"/>
      <c r="I216" s="538"/>
      <c r="J216" s="531"/>
      <c r="K216" s="531"/>
      <c r="L216" s="531"/>
      <c r="M216" s="531"/>
      <c r="N216" s="531"/>
      <c r="O216" s="531"/>
      <c r="P216" s="531"/>
      <c r="Q216" s="531"/>
      <c r="R216" s="531"/>
      <c r="S216" s="531"/>
      <c r="T216" s="531"/>
      <c r="U216" s="531"/>
      <c r="V216" s="531"/>
      <c r="W216" s="531"/>
      <c r="X216" s="531"/>
      <c r="Y216" s="532"/>
      <c r="Z216" s="537"/>
      <c r="AA216" s="538"/>
      <c r="AB216" s="538"/>
      <c r="AC216" s="538"/>
      <c r="AD216" s="538"/>
      <c r="AE216" s="538"/>
      <c r="AF216" s="538"/>
      <c r="AG216" s="531"/>
      <c r="AH216" s="531"/>
      <c r="AI216" s="531"/>
      <c r="AJ216" s="531"/>
      <c r="AK216" s="531"/>
      <c r="AL216" s="531"/>
      <c r="AM216" s="531"/>
      <c r="AN216" s="531"/>
      <c r="AO216" s="531"/>
      <c r="AP216" s="531"/>
      <c r="AQ216" s="531"/>
      <c r="AR216" s="531"/>
      <c r="AS216" s="531"/>
      <c r="AT216" s="531"/>
      <c r="AU216" s="531"/>
      <c r="AV216" s="531"/>
      <c r="AW216" s="531"/>
      <c r="AX216" s="532"/>
    </row>
    <row r="217" spans="1:50" x14ac:dyDescent="0.25">
      <c r="A217" s="524"/>
      <c r="B217" s="525"/>
      <c r="C217" s="525"/>
      <c r="D217" s="525"/>
      <c r="E217" s="525"/>
      <c r="F217" s="525"/>
      <c r="G217" s="525"/>
      <c r="H217" s="526" t="str">
        <f>IF(A218="","",LOOKUP(A218,BoonRef!$A$2:$A$430,BoonRef!$C$2:$C$430))</f>
        <v/>
      </c>
      <c r="I217" s="526"/>
      <c r="J217" s="527"/>
      <c r="K217" s="527"/>
      <c r="L217" s="527"/>
      <c r="M217" s="527"/>
      <c r="N217" s="527"/>
      <c r="O217" s="527"/>
      <c r="P217" s="527"/>
      <c r="Q217" s="527"/>
      <c r="R217" s="527"/>
      <c r="S217" s="527"/>
      <c r="T217" s="527"/>
      <c r="U217" s="527"/>
      <c r="V217" s="527"/>
      <c r="W217" s="527"/>
      <c r="X217" s="527"/>
      <c r="Y217" s="528"/>
      <c r="Z217" s="524"/>
      <c r="AA217" s="525"/>
      <c r="AB217" s="525"/>
      <c r="AC217" s="525"/>
      <c r="AD217" s="525"/>
      <c r="AE217" s="526" t="str">
        <f>IF(Z218="","",LOOKUP(Z218,KanckRef!$A$2:$A$170,KanckRef!$E$2:$E$170))</f>
        <v/>
      </c>
      <c r="AF217" s="526"/>
      <c r="AG217" s="527"/>
      <c r="AH217" s="527"/>
      <c r="AI217" s="527"/>
      <c r="AJ217" s="527"/>
      <c r="AK217" s="527"/>
      <c r="AL217" s="527"/>
      <c r="AM217" s="527"/>
      <c r="AN217" s="527"/>
      <c r="AO217" s="527"/>
      <c r="AP217" s="527"/>
      <c r="AQ217" s="527"/>
      <c r="AR217" s="527"/>
      <c r="AS217" s="527"/>
      <c r="AT217" s="527"/>
      <c r="AU217" s="527"/>
      <c r="AV217" s="527"/>
      <c r="AW217" s="527"/>
      <c r="AX217" s="528"/>
    </row>
    <row r="218" spans="1:50" x14ac:dyDescent="0.25">
      <c r="A218" s="533"/>
      <c r="B218" s="534"/>
      <c r="C218" s="534"/>
      <c r="D218" s="534"/>
      <c r="E218" s="534"/>
      <c r="F218" s="534"/>
      <c r="G218" s="534"/>
      <c r="H218" s="535" t="str">
        <f>IF(A218="","",LOOKUP(A218,BoonRef!$A$2:$A$430,BoonRef!$P$2:$P$430))</f>
        <v/>
      </c>
      <c r="I218" s="535"/>
      <c r="J218" s="529"/>
      <c r="K218" s="529"/>
      <c r="L218" s="529"/>
      <c r="M218" s="529"/>
      <c r="N218" s="529"/>
      <c r="O218" s="529"/>
      <c r="P218" s="529"/>
      <c r="Q218" s="529"/>
      <c r="R218" s="529"/>
      <c r="S218" s="529"/>
      <c r="T218" s="529"/>
      <c r="U218" s="529"/>
      <c r="V218" s="529"/>
      <c r="W218" s="529"/>
      <c r="X218" s="529"/>
      <c r="Y218" s="530"/>
      <c r="Z218" s="533"/>
      <c r="AA218" s="534"/>
      <c r="AB218" s="534"/>
      <c r="AC218" s="534"/>
      <c r="AD218" s="534"/>
      <c r="AE218" s="535" t="str">
        <f>IF(Z218="","",LOOKUP(Z218,KanckRef!$A$2:$A$170,KanckRef!$F$2:$F$170))</f>
        <v/>
      </c>
      <c r="AF218" s="535"/>
      <c r="AG218" s="529"/>
      <c r="AH218" s="529"/>
      <c r="AI218" s="529"/>
      <c r="AJ218" s="529"/>
      <c r="AK218" s="529"/>
      <c r="AL218" s="529"/>
      <c r="AM218" s="529"/>
      <c r="AN218" s="529"/>
      <c r="AO218" s="529"/>
      <c r="AP218" s="529"/>
      <c r="AQ218" s="529"/>
      <c r="AR218" s="529"/>
      <c r="AS218" s="529"/>
      <c r="AT218" s="529"/>
      <c r="AU218" s="529"/>
      <c r="AV218" s="529"/>
      <c r="AW218" s="529"/>
      <c r="AX218" s="530"/>
    </row>
    <row r="219" spans="1:50" x14ac:dyDescent="0.25">
      <c r="A219" s="533"/>
      <c r="B219" s="534"/>
      <c r="C219" s="534"/>
      <c r="D219" s="534"/>
      <c r="E219" s="534"/>
      <c r="F219" s="534"/>
      <c r="G219" s="534"/>
      <c r="H219" s="535" t="str">
        <f>IF(A218="","",LOOKUP(A218,BoonRef!$A$2:$A$430,BoonRef!$Q$2:$Q$430))</f>
        <v/>
      </c>
      <c r="I219" s="535"/>
      <c r="J219" s="529"/>
      <c r="K219" s="529"/>
      <c r="L219" s="529"/>
      <c r="M219" s="529"/>
      <c r="N219" s="529"/>
      <c r="O219" s="529"/>
      <c r="P219" s="529"/>
      <c r="Q219" s="529"/>
      <c r="R219" s="529"/>
      <c r="S219" s="529"/>
      <c r="T219" s="529"/>
      <c r="U219" s="529"/>
      <c r="V219" s="529"/>
      <c r="W219" s="529"/>
      <c r="X219" s="529"/>
      <c r="Y219" s="530"/>
      <c r="Z219" s="533"/>
      <c r="AA219" s="534"/>
      <c r="AB219" s="534"/>
      <c r="AC219" s="534"/>
      <c r="AD219" s="534"/>
      <c r="AE219" s="535"/>
      <c r="AF219" s="535"/>
      <c r="AG219" s="529"/>
      <c r="AH219" s="529"/>
      <c r="AI219" s="529"/>
      <c r="AJ219" s="529"/>
      <c r="AK219" s="529"/>
      <c r="AL219" s="529"/>
      <c r="AM219" s="529"/>
      <c r="AN219" s="529"/>
      <c r="AO219" s="529"/>
      <c r="AP219" s="529"/>
      <c r="AQ219" s="529"/>
      <c r="AR219" s="529"/>
      <c r="AS219" s="529"/>
      <c r="AT219" s="529"/>
      <c r="AU219" s="529"/>
      <c r="AV219" s="529"/>
      <c r="AW219" s="529"/>
      <c r="AX219" s="530"/>
    </row>
    <row r="220" spans="1:50" ht="15" customHeight="1" x14ac:dyDescent="0.25">
      <c r="A220" s="536" t="str">
        <f>IF(A218="","",LOOKUP(A218,BoonRef!$A$2:$A$430,BoonRef!$O$2:$O$430))</f>
        <v/>
      </c>
      <c r="B220" s="535"/>
      <c r="C220" s="535"/>
      <c r="D220" s="535"/>
      <c r="E220" s="535"/>
      <c r="F220" s="535"/>
      <c r="G220" s="535"/>
      <c r="H220" s="535"/>
      <c r="I220" s="535"/>
      <c r="J220" s="529"/>
      <c r="K220" s="529"/>
      <c r="L220" s="529"/>
      <c r="M220" s="529"/>
      <c r="N220" s="529"/>
      <c r="O220" s="529"/>
      <c r="P220" s="529"/>
      <c r="Q220" s="529"/>
      <c r="R220" s="529"/>
      <c r="S220" s="529"/>
      <c r="T220" s="529"/>
      <c r="U220" s="529"/>
      <c r="V220" s="529"/>
      <c r="W220" s="529"/>
      <c r="X220" s="529"/>
      <c r="Y220" s="530"/>
      <c r="Z220" s="536" t="str">
        <f>IF(Z218="","",LOOKUP(Z218,KanckRef!$A$2:$A$170,KanckRef!$D$2:$D$170))</f>
        <v/>
      </c>
      <c r="AA220" s="535"/>
      <c r="AB220" s="535"/>
      <c r="AC220" s="535"/>
      <c r="AD220" s="535"/>
      <c r="AE220" s="535"/>
      <c r="AF220" s="535"/>
      <c r="AG220" s="529"/>
      <c r="AH220" s="529"/>
      <c r="AI220" s="529"/>
      <c r="AJ220" s="529"/>
      <c r="AK220" s="529"/>
      <c r="AL220" s="529"/>
      <c r="AM220" s="529"/>
      <c r="AN220" s="529"/>
      <c r="AO220" s="529"/>
      <c r="AP220" s="529"/>
      <c r="AQ220" s="529"/>
      <c r="AR220" s="529"/>
      <c r="AS220" s="529"/>
      <c r="AT220" s="529"/>
      <c r="AU220" s="529"/>
      <c r="AV220" s="529"/>
      <c r="AW220" s="529"/>
      <c r="AX220" s="530"/>
    </row>
    <row r="221" spans="1:50" ht="15" customHeight="1" x14ac:dyDescent="0.25">
      <c r="A221" s="536" t="str">
        <f>IF(A218="","",LOOKUP(A218,BoonRef!$A$2:$A$430,BoonRef!$N$2:$N$430))</f>
        <v/>
      </c>
      <c r="B221" s="535"/>
      <c r="C221" s="535"/>
      <c r="D221" s="535"/>
      <c r="E221" s="535"/>
      <c r="F221" s="535"/>
      <c r="G221" s="535"/>
      <c r="H221" s="535"/>
      <c r="I221" s="535"/>
      <c r="J221" s="529"/>
      <c r="K221" s="529"/>
      <c r="L221" s="529"/>
      <c r="M221" s="529"/>
      <c r="N221" s="529"/>
      <c r="O221" s="529"/>
      <c r="P221" s="529"/>
      <c r="Q221" s="529"/>
      <c r="R221" s="529"/>
      <c r="S221" s="529"/>
      <c r="T221" s="529"/>
      <c r="U221" s="529"/>
      <c r="V221" s="529"/>
      <c r="W221" s="529"/>
      <c r="X221" s="529"/>
      <c r="Y221" s="530"/>
      <c r="Z221" s="536"/>
      <c r="AA221" s="535"/>
      <c r="AB221" s="535"/>
      <c r="AC221" s="535"/>
      <c r="AD221" s="535"/>
      <c r="AE221" s="535"/>
      <c r="AF221" s="535"/>
      <c r="AG221" s="529"/>
      <c r="AH221" s="529"/>
      <c r="AI221" s="529"/>
      <c r="AJ221" s="529"/>
      <c r="AK221" s="529"/>
      <c r="AL221" s="529"/>
      <c r="AM221" s="529"/>
      <c r="AN221" s="529"/>
      <c r="AO221" s="529"/>
      <c r="AP221" s="529"/>
      <c r="AQ221" s="529"/>
      <c r="AR221" s="529"/>
      <c r="AS221" s="529"/>
      <c r="AT221" s="529"/>
      <c r="AU221" s="529"/>
      <c r="AV221" s="529"/>
      <c r="AW221" s="529"/>
      <c r="AX221" s="530"/>
    </row>
    <row r="222" spans="1:50" ht="15.75" thickBot="1" x14ac:dyDescent="0.3">
      <c r="A222" s="537"/>
      <c r="B222" s="538"/>
      <c r="C222" s="538"/>
      <c r="D222" s="538"/>
      <c r="E222" s="538"/>
      <c r="F222" s="538"/>
      <c r="G222" s="538"/>
      <c r="H222" s="538"/>
      <c r="I222" s="538"/>
      <c r="J222" s="531"/>
      <c r="K222" s="531"/>
      <c r="L222" s="531"/>
      <c r="M222" s="531"/>
      <c r="N222" s="531"/>
      <c r="O222" s="531"/>
      <c r="P222" s="531"/>
      <c r="Q222" s="531"/>
      <c r="R222" s="531"/>
      <c r="S222" s="531"/>
      <c r="T222" s="531"/>
      <c r="U222" s="531"/>
      <c r="V222" s="531"/>
      <c r="W222" s="531"/>
      <c r="X222" s="531"/>
      <c r="Y222" s="532"/>
      <c r="Z222" s="537"/>
      <c r="AA222" s="538"/>
      <c r="AB222" s="538"/>
      <c r="AC222" s="538"/>
      <c r="AD222" s="538"/>
      <c r="AE222" s="538"/>
      <c r="AF222" s="538"/>
      <c r="AG222" s="531"/>
      <c r="AH222" s="531"/>
      <c r="AI222" s="531"/>
      <c r="AJ222" s="531"/>
      <c r="AK222" s="531"/>
      <c r="AL222" s="531"/>
      <c r="AM222" s="531"/>
      <c r="AN222" s="531"/>
      <c r="AO222" s="531"/>
      <c r="AP222" s="531"/>
      <c r="AQ222" s="531"/>
      <c r="AR222" s="531"/>
      <c r="AS222" s="531"/>
      <c r="AT222" s="531"/>
      <c r="AU222" s="531"/>
      <c r="AV222" s="531"/>
      <c r="AW222" s="531"/>
      <c r="AX222" s="532"/>
    </row>
    <row r="223" spans="1:50" x14ac:dyDescent="0.25">
      <c r="A223" s="524"/>
      <c r="B223" s="525"/>
      <c r="C223" s="525"/>
      <c r="D223" s="525"/>
      <c r="E223" s="525"/>
      <c r="F223" s="525"/>
      <c r="G223" s="525"/>
      <c r="H223" s="526" t="str">
        <f>IF(A224="","",LOOKUP(A224,BoonRef!$A$2:$A$430,BoonRef!$C$2:$C$430))</f>
        <v/>
      </c>
      <c r="I223" s="526"/>
      <c r="J223" s="527"/>
      <c r="K223" s="527"/>
      <c r="L223" s="527"/>
      <c r="M223" s="527"/>
      <c r="N223" s="527"/>
      <c r="O223" s="527"/>
      <c r="P223" s="527"/>
      <c r="Q223" s="527"/>
      <c r="R223" s="527"/>
      <c r="S223" s="527"/>
      <c r="T223" s="527"/>
      <c r="U223" s="527"/>
      <c r="V223" s="527"/>
      <c r="W223" s="527"/>
      <c r="X223" s="527"/>
      <c r="Y223" s="528"/>
      <c r="Z223" s="524"/>
      <c r="AA223" s="525"/>
      <c r="AB223" s="525"/>
      <c r="AC223" s="525"/>
      <c r="AD223" s="525"/>
      <c r="AE223" s="526" t="str">
        <f>IF(Z224="","",LOOKUP(Z224,KanckRef!$A$2:$A$170,KanckRef!$E$2:$E$170))</f>
        <v/>
      </c>
      <c r="AF223" s="526"/>
      <c r="AG223" s="527"/>
      <c r="AH223" s="527"/>
      <c r="AI223" s="527"/>
      <c r="AJ223" s="527"/>
      <c r="AK223" s="527"/>
      <c r="AL223" s="527"/>
      <c r="AM223" s="527"/>
      <c r="AN223" s="527"/>
      <c r="AO223" s="527"/>
      <c r="AP223" s="527"/>
      <c r="AQ223" s="527"/>
      <c r="AR223" s="527"/>
      <c r="AS223" s="527"/>
      <c r="AT223" s="527"/>
      <c r="AU223" s="527"/>
      <c r="AV223" s="527"/>
      <c r="AW223" s="527"/>
      <c r="AX223" s="528"/>
    </row>
    <row r="224" spans="1:50" x14ac:dyDescent="0.25">
      <c r="A224" s="533"/>
      <c r="B224" s="534"/>
      <c r="C224" s="534"/>
      <c r="D224" s="534"/>
      <c r="E224" s="534"/>
      <c r="F224" s="534"/>
      <c r="G224" s="534"/>
      <c r="H224" s="535" t="str">
        <f>IF(A224="","",LOOKUP(A224,BoonRef!$A$2:$A$430,BoonRef!$P$2:$P$430))</f>
        <v/>
      </c>
      <c r="I224" s="535"/>
      <c r="J224" s="529"/>
      <c r="K224" s="529"/>
      <c r="L224" s="529"/>
      <c r="M224" s="529"/>
      <c r="N224" s="529"/>
      <c r="O224" s="529"/>
      <c r="P224" s="529"/>
      <c r="Q224" s="529"/>
      <c r="R224" s="529"/>
      <c r="S224" s="529"/>
      <c r="T224" s="529"/>
      <c r="U224" s="529"/>
      <c r="V224" s="529"/>
      <c r="W224" s="529"/>
      <c r="X224" s="529"/>
      <c r="Y224" s="530"/>
      <c r="Z224" s="533"/>
      <c r="AA224" s="534"/>
      <c r="AB224" s="534"/>
      <c r="AC224" s="534"/>
      <c r="AD224" s="534"/>
      <c r="AE224" s="535" t="str">
        <f>IF(Z224="","",LOOKUP(Z224,KanckRef!$A$2:$A$170,KanckRef!$F$2:$F$170))</f>
        <v/>
      </c>
      <c r="AF224" s="535"/>
      <c r="AG224" s="529"/>
      <c r="AH224" s="529"/>
      <c r="AI224" s="529"/>
      <c r="AJ224" s="529"/>
      <c r="AK224" s="529"/>
      <c r="AL224" s="529"/>
      <c r="AM224" s="529"/>
      <c r="AN224" s="529"/>
      <c r="AO224" s="529"/>
      <c r="AP224" s="529"/>
      <c r="AQ224" s="529"/>
      <c r="AR224" s="529"/>
      <c r="AS224" s="529"/>
      <c r="AT224" s="529"/>
      <c r="AU224" s="529"/>
      <c r="AV224" s="529"/>
      <c r="AW224" s="529"/>
      <c r="AX224" s="530"/>
    </row>
    <row r="225" spans="1:50" ht="15" customHeight="1" x14ac:dyDescent="0.25">
      <c r="A225" s="533"/>
      <c r="B225" s="534"/>
      <c r="C225" s="534"/>
      <c r="D225" s="534"/>
      <c r="E225" s="534"/>
      <c r="F225" s="534"/>
      <c r="G225" s="534"/>
      <c r="H225" s="535" t="str">
        <f>IF(A224="","",LOOKUP(A224,BoonRef!$A$2:$A$430,BoonRef!$Q$2:$Q$430))</f>
        <v/>
      </c>
      <c r="I225" s="535"/>
      <c r="J225" s="529"/>
      <c r="K225" s="529"/>
      <c r="L225" s="529"/>
      <c r="M225" s="529"/>
      <c r="N225" s="529"/>
      <c r="O225" s="529"/>
      <c r="P225" s="529"/>
      <c r="Q225" s="529"/>
      <c r="R225" s="529"/>
      <c r="S225" s="529"/>
      <c r="T225" s="529"/>
      <c r="U225" s="529"/>
      <c r="V225" s="529"/>
      <c r="W225" s="529"/>
      <c r="X225" s="529"/>
      <c r="Y225" s="530"/>
      <c r="Z225" s="533"/>
      <c r="AA225" s="534"/>
      <c r="AB225" s="534"/>
      <c r="AC225" s="534"/>
      <c r="AD225" s="534"/>
      <c r="AE225" s="535"/>
      <c r="AF225" s="535"/>
      <c r="AG225" s="529"/>
      <c r="AH225" s="529"/>
      <c r="AI225" s="529"/>
      <c r="AJ225" s="529"/>
      <c r="AK225" s="529"/>
      <c r="AL225" s="529"/>
      <c r="AM225" s="529"/>
      <c r="AN225" s="529"/>
      <c r="AO225" s="529"/>
      <c r="AP225" s="529"/>
      <c r="AQ225" s="529"/>
      <c r="AR225" s="529"/>
      <c r="AS225" s="529"/>
      <c r="AT225" s="529"/>
      <c r="AU225" s="529"/>
      <c r="AV225" s="529"/>
      <c r="AW225" s="529"/>
      <c r="AX225" s="530"/>
    </row>
    <row r="226" spans="1:50" ht="15" customHeight="1" x14ac:dyDescent="0.25">
      <c r="A226" s="536" t="str">
        <f>IF(A224="","",LOOKUP(A224,BoonRef!$A$2:$A$430,BoonRef!$O$2:$O$430))</f>
        <v/>
      </c>
      <c r="B226" s="535"/>
      <c r="C226" s="535"/>
      <c r="D226" s="535"/>
      <c r="E226" s="535"/>
      <c r="F226" s="535"/>
      <c r="G226" s="535"/>
      <c r="H226" s="535"/>
      <c r="I226" s="535"/>
      <c r="J226" s="529"/>
      <c r="K226" s="529"/>
      <c r="L226" s="529"/>
      <c r="M226" s="529"/>
      <c r="N226" s="529"/>
      <c r="O226" s="529"/>
      <c r="P226" s="529"/>
      <c r="Q226" s="529"/>
      <c r="R226" s="529"/>
      <c r="S226" s="529"/>
      <c r="T226" s="529"/>
      <c r="U226" s="529"/>
      <c r="V226" s="529"/>
      <c r="W226" s="529"/>
      <c r="X226" s="529"/>
      <c r="Y226" s="530"/>
      <c r="Z226" s="536" t="str">
        <f>IF(Z224="","",LOOKUP(Z224,KanckRef!$A$2:$A$170,KanckRef!$D$2:$D$170))</f>
        <v/>
      </c>
      <c r="AA226" s="535"/>
      <c r="AB226" s="535"/>
      <c r="AC226" s="535"/>
      <c r="AD226" s="535"/>
      <c r="AE226" s="535"/>
      <c r="AF226" s="535"/>
      <c r="AG226" s="529"/>
      <c r="AH226" s="529"/>
      <c r="AI226" s="529"/>
      <c r="AJ226" s="529"/>
      <c r="AK226" s="529"/>
      <c r="AL226" s="529"/>
      <c r="AM226" s="529"/>
      <c r="AN226" s="529"/>
      <c r="AO226" s="529"/>
      <c r="AP226" s="529"/>
      <c r="AQ226" s="529"/>
      <c r="AR226" s="529"/>
      <c r="AS226" s="529"/>
      <c r="AT226" s="529"/>
      <c r="AU226" s="529"/>
      <c r="AV226" s="529"/>
      <c r="AW226" s="529"/>
      <c r="AX226" s="530"/>
    </row>
    <row r="227" spans="1:50" x14ac:dyDescent="0.25">
      <c r="A227" s="536" t="str">
        <f>IF(A224="","",LOOKUP(A224,BoonRef!$A$2:$A$430,BoonRef!$N$2:$N$430))</f>
        <v/>
      </c>
      <c r="B227" s="535"/>
      <c r="C227" s="535"/>
      <c r="D227" s="535"/>
      <c r="E227" s="535"/>
      <c r="F227" s="535"/>
      <c r="G227" s="535"/>
      <c r="H227" s="535"/>
      <c r="I227" s="535"/>
      <c r="J227" s="529"/>
      <c r="K227" s="529"/>
      <c r="L227" s="529"/>
      <c r="M227" s="529"/>
      <c r="N227" s="529"/>
      <c r="O227" s="529"/>
      <c r="P227" s="529"/>
      <c r="Q227" s="529"/>
      <c r="R227" s="529"/>
      <c r="S227" s="529"/>
      <c r="T227" s="529"/>
      <c r="U227" s="529"/>
      <c r="V227" s="529"/>
      <c r="W227" s="529"/>
      <c r="X227" s="529"/>
      <c r="Y227" s="530"/>
      <c r="Z227" s="536"/>
      <c r="AA227" s="535"/>
      <c r="AB227" s="535"/>
      <c r="AC227" s="535"/>
      <c r="AD227" s="535"/>
      <c r="AE227" s="535"/>
      <c r="AF227" s="535"/>
      <c r="AG227" s="529"/>
      <c r="AH227" s="529"/>
      <c r="AI227" s="529"/>
      <c r="AJ227" s="529"/>
      <c r="AK227" s="529"/>
      <c r="AL227" s="529"/>
      <c r="AM227" s="529"/>
      <c r="AN227" s="529"/>
      <c r="AO227" s="529"/>
      <c r="AP227" s="529"/>
      <c r="AQ227" s="529"/>
      <c r="AR227" s="529"/>
      <c r="AS227" s="529"/>
      <c r="AT227" s="529"/>
      <c r="AU227" s="529"/>
      <c r="AV227" s="529"/>
      <c r="AW227" s="529"/>
      <c r="AX227" s="530"/>
    </row>
    <row r="228" spans="1:50" ht="15.75" thickBot="1" x14ac:dyDescent="0.3">
      <c r="A228" s="537"/>
      <c r="B228" s="538"/>
      <c r="C228" s="538"/>
      <c r="D228" s="538"/>
      <c r="E228" s="538"/>
      <c r="F228" s="538"/>
      <c r="G228" s="538"/>
      <c r="H228" s="538"/>
      <c r="I228" s="538"/>
      <c r="J228" s="531"/>
      <c r="K228" s="531"/>
      <c r="L228" s="531"/>
      <c r="M228" s="531"/>
      <c r="N228" s="531"/>
      <c r="O228" s="531"/>
      <c r="P228" s="531"/>
      <c r="Q228" s="531"/>
      <c r="R228" s="531"/>
      <c r="S228" s="531"/>
      <c r="T228" s="531"/>
      <c r="U228" s="531"/>
      <c r="V228" s="531"/>
      <c r="W228" s="531"/>
      <c r="X228" s="531"/>
      <c r="Y228" s="532"/>
      <c r="Z228" s="537"/>
      <c r="AA228" s="538"/>
      <c r="AB228" s="538"/>
      <c r="AC228" s="538"/>
      <c r="AD228" s="538"/>
      <c r="AE228" s="538"/>
      <c r="AF228" s="538"/>
      <c r="AG228" s="531"/>
      <c r="AH228" s="531"/>
      <c r="AI228" s="531"/>
      <c r="AJ228" s="531"/>
      <c r="AK228" s="531"/>
      <c r="AL228" s="531"/>
      <c r="AM228" s="531"/>
      <c r="AN228" s="531"/>
      <c r="AO228" s="531"/>
      <c r="AP228" s="531"/>
      <c r="AQ228" s="531"/>
      <c r="AR228" s="531"/>
      <c r="AS228" s="531"/>
      <c r="AT228" s="531"/>
      <c r="AU228" s="531"/>
      <c r="AV228" s="531"/>
      <c r="AW228" s="531"/>
      <c r="AX228" s="532"/>
    </row>
    <row r="229" spans="1:50" x14ac:dyDescent="0.25">
      <c r="A229" s="524"/>
      <c r="B229" s="525"/>
      <c r="C229" s="525"/>
      <c r="D229" s="525"/>
      <c r="E229" s="525"/>
      <c r="F229" s="525"/>
      <c r="G229" s="525"/>
      <c r="H229" s="526" t="str">
        <f>IF(A230="","",LOOKUP(A230,BoonRef!$A$2:$A$430,BoonRef!$C$2:$C$430))</f>
        <v/>
      </c>
      <c r="I229" s="526"/>
      <c r="J229" s="527"/>
      <c r="K229" s="527"/>
      <c r="L229" s="527"/>
      <c r="M229" s="527"/>
      <c r="N229" s="527"/>
      <c r="O229" s="527"/>
      <c r="P229" s="527"/>
      <c r="Q229" s="527"/>
      <c r="R229" s="527"/>
      <c r="S229" s="527"/>
      <c r="T229" s="527"/>
      <c r="U229" s="527"/>
      <c r="V229" s="527"/>
      <c r="W229" s="527"/>
      <c r="X229" s="527"/>
      <c r="Y229" s="528"/>
      <c r="Z229" s="524"/>
      <c r="AA229" s="525"/>
      <c r="AB229" s="525"/>
      <c r="AC229" s="525"/>
      <c r="AD229" s="525"/>
      <c r="AE229" s="526" t="str">
        <f>IF(Z230="","",LOOKUP(Z230,KanckRef!$A$2:$A$170,KanckRef!$E$2:$E$170))</f>
        <v/>
      </c>
      <c r="AF229" s="526"/>
      <c r="AG229" s="527"/>
      <c r="AH229" s="527"/>
      <c r="AI229" s="527"/>
      <c r="AJ229" s="527"/>
      <c r="AK229" s="527"/>
      <c r="AL229" s="527"/>
      <c r="AM229" s="527"/>
      <c r="AN229" s="527"/>
      <c r="AO229" s="527"/>
      <c r="AP229" s="527"/>
      <c r="AQ229" s="527"/>
      <c r="AR229" s="527"/>
      <c r="AS229" s="527"/>
      <c r="AT229" s="527"/>
      <c r="AU229" s="527"/>
      <c r="AV229" s="527"/>
      <c r="AW229" s="527"/>
      <c r="AX229" s="528"/>
    </row>
    <row r="230" spans="1:50" ht="15" customHeight="1" x14ac:dyDescent="0.25">
      <c r="A230" s="533"/>
      <c r="B230" s="534"/>
      <c r="C230" s="534"/>
      <c r="D230" s="534"/>
      <c r="E230" s="534"/>
      <c r="F230" s="534"/>
      <c r="G230" s="534"/>
      <c r="H230" s="535" t="str">
        <f>IF(A230="","",LOOKUP(A230,BoonRef!$A$2:$A$430,BoonRef!$P$2:$P$430))</f>
        <v/>
      </c>
      <c r="I230" s="535"/>
      <c r="J230" s="529"/>
      <c r="K230" s="529"/>
      <c r="L230" s="529"/>
      <c r="M230" s="529"/>
      <c r="N230" s="529"/>
      <c r="O230" s="529"/>
      <c r="P230" s="529"/>
      <c r="Q230" s="529"/>
      <c r="R230" s="529"/>
      <c r="S230" s="529"/>
      <c r="T230" s="529"/>
      <c r="U230" s="529"/>
      <c r="V230" s="529"/>
      <c r="W230" s="529"/>
      <c r="X230" s="529"/>
      <c r="Y230" s="530"/>
      <c r="Z230" s="533"/>
      <c r="AA230" s="534"/>
      <c r="AB230" s="534"/>
      <c r="AC230" s="534"/>
      <c r="AD230" s="534"/>
      <c r="AE230" s="535" t="str">
        <f>IF(Z230="","",LOOKUP(Z230,KanckRef!$A$2:$A$170,KanckRef!$F$2:$F$170))</f>
        <v/>
      </c>
      <c r="AF230" s="535"/>
      <c r="AG230" s="529"/>
      <c r="AH230" s="529"/>
      <c r="AI230" s="529"/>
      <c r="AJ230" s="529"/>
      <c r="AK230" s="529"/>
      <c r="AL230" s="529"/>
      <c r="AM230" s="529"/>
      <c r="AN230" s="529"/>
      <c r="AO230" s="529"/>
      <c r="AP230" s="529"/>
      <c r="AQ230" s="529"/>
      <c r="AR230" s="529"/>
      <c r="AS230" s="529"/>
      <c r="AT230" s="529"/>
      <c r="AU230" s="529"/>
      <c r="AV230" s="529"/>
      <c r="AW230" s="529"/>
      <c r="AX230" s="530"/>
    </row>
    <row r="231" spans="1:50" ht="15" customHeight="1" x14ac:dyDescent="0.25">
      <c r="A231" s="533"/>
      <c r="B231" s="534"/>
      <c r="C231" s="534"/>
      <c r="D231" s="534"/>
      <c r="E231" s="534"/>
      <c r="F231" s="534"/>
      <c r="G231" s="534"/>
      <c r="H231" s="535" t="str">
        <f>IF(A230="","",LOOKUP(A230,BoonRef!$A$2:$A$430,BoonRef!$Q$2:$Q$430))</f>
        <v/>
      </c>
      <c r="I231" s="535"/>
      <c r="J231" s="529"/>
      <c r="K231" s="529"/>
      <c r="L231" s="529"/>
      <c r="M231" s="529"/>
      <c r="N231" s="529"/>
      <c r="O231" s="529"/>
      <c r="P231" s="529"/>
      <c r="Q231" s="529"/>
      <c r="R231" s="529"/>
      <c r="S231" s="529"/>
      <c r="T231" s="529"/>
      <c r="U231" s="529"/>
      <c r="V231" s="529"/>
      <c r="W231" s="529"/>
      <c r="X231" s="529"/>
      <c r="Y231" s="530"/>
      <c r="Z231" s="533"/>
      <c r="AA231" s="534"/>
      <c r="AB231" s="534"/>
      <c r="AC231" s="534"/>
      <c r="AD231" s="534"/>
      <c r="AE231" s="535"/>
      <c r="AF231" s="535"/>
      <c r="AG231" s="529"/>
      <c r="AH231" s="529"/>
      <c r="AI231" s="529"/>
      <c r="AJ231" s="529"/>
      <c r="AK231" s="529"/>
      <c r="AL231" s="529"/>
      <c r="AM231" s="529"/>
      <c r="AN231" s="529"/>
      <c r="AO231" s="529"/>
      <c r="AP231" s="529"/>
      <c r="AQ231" s="529"/>
      <c r="AR231" s="529"/>
      <c r="AS231" s="529"/>
      <c r="AT231" s="529"/>
      <c r="AU231" s="529"/>
      <c r="AV231" s="529"/>
      <c r="AW231" s="529"/>
      <c r="AX231" s="530"/>
    </row>
    <row r="232" spans="1:50" x14ac:dyDescent="0.25">
      <c r="A232" s="536" t="str">
        <f>IF(A230="","",LOOKUP(A230,BoonRef!$A$2:$A$430,BoonRef!$O$2:$O$430))</f>
        <v/>
      </c>
      <c r="B232" s="535"/>
      <c r="C232" s="535"/>
      <c r="D232" s="535"/>
      <c r="E232" s="535"/>
      <c r="F232" s="535"/>
      <c r="G232" s="535"/>
      <c r="H232" s="535"/>
      <c r="I232" s="535"/>
      <c r="J232" s="529"/>
      <c r="K232" s="529"/>
      <c r="L232" s="529"/>
      <c r="M232" s="529"/>
      <c r="N232" s="529"/>
      <c r="O232" s="529"/>
      <c r="P232" s="529"/>
      <c r="Q232" s="529"/>
      <c r="R232" s="529"/>
      <c r="S232" s="529"/>
      <c r="T232" s="529"/>
      <c r="U232" s="529"/>
      <c r="V232" s="529"/>
      <c r="W232" s="529"/>
      <c r="X232" s="529"/>
      <c r="Y232" s="530"/>
      <c r="Z232" s="536" t="str">
        <f>IF(Z230="","",LOOKUP(Z230,KanckRef!$A$2:$A$170,KanckRef!$D$2:$D$170))</f>
        <v/>
      </c>
      <c r="AA232" s="535"/>
      <c r="AB232" s="535"/>
      <c r="AC232" s="535"/>
      <c r="AD232" s="535"/>
      <c r="AE232" s="535"/>
      <c r="AF232" s="535"/>
      <c r="AG232" s="529"/>
      <c r="AH232" s="529"/>
      <c r="AI232" s="529"/>
      <c r="AJ232" s="529"/>
      <c r="AK232" s="529"/>
      <c r="AL232" s="529"/>
      <c r="AM232" s="529"/>
      <c r="AN232" s="529"/>
      <c r="AO232" s="529"/>
      <c r="AP232" s="529"/>
      <c r="AQ232" s="529"/>
      <c r="AR232" s="529"/>
      <c r="AS232" s="529"/>
      <c r="AT232" s="529"/>
      <c r="AU232" s="529"/>
      <c r="AV232" s="529"/>
      <c r="AW232" s="529"/>
      <c r="AX232" s="530"/>
    </row>
    <row r="233" spans="1:50" x14ac:dyDescent="0.25">
      <c r="A233" s="536" t="str">
        <f>IF(A230="","",LOOKUP(A230,BoonRef!$A$2:$A$430,BoonRef!$N$2:$N$430))</f>
        <v/>
      </c>
      <c r="B233" s="535"/>
      <c r="C233" s="535"/>
      <c r="D233" s="535"/>
      <c r="E233" s="535"/>
      <c r="F233" s="535"/>
      <c r="G233" s="535"/>
      <c r="H233" s="535"/>
      <c r="I233" s="535"/>
      <c r="J233" s="529"/>
      <c r="K233" s="529"/>
      <c r="L233" s="529"/>
      <c r="M233" s="529"/>
      <c r="N233" s="529"/>
      <c r="O233" s="529"/>
      <c r="P233" s="529"/>
      <c r="Q233" s="529"/>
      <c r="R233" s="529"/>
      <c r="S233" s="529"/>
      <c r="T233" s="529"/>
      <c r="U233" s="529"/>
      <c r="V233" s="529"/>
      <c r="W233" s="529"/>
      <c r="X233" s="529"/>
      <c r="Y233" s="530"/>
      <c r="Z233" s="536"/>
      <c r="AA233" s="535"/>
      <c r="AB233" s="535"/>
      <c r="AC233" s="535"/>
      <c r="AD233" s="535"/>
      <c r="AE233" s="535"/>
      <c r="AF233" s="535"/>
      <c r="AG233" s="529"/>
      <c r="AH233" s="529"/>
      <c r="AI233" s="529"/>
      <c r="AJ233" s="529"/>
      <c r="AK233" s="529"/>
      <c r="AL233" s="529"/>
      <c r="AM233" s="529"/>
      <c r="AN233" s="529"/>
      <c r="AO233" s="529"/>
      <c r="AP233" s="529"/>
      <c r="AQ233" s="529"/>
      <c r="AR233" s="529"/>
      <c r="AS233" s="529"/>
      <c r="AT233" s="529"/>
      <c r="AU233" s="529"/>
      <c r="AV233" s="529"/>
      <c r="AW233" s="529"/>
      <c r="AX233" s="530"/>
    </row>
    <row r="234" spans="1:50" ht="15.75" thickBot="1" x14ac:dyDescent="0.3">
      <c r="A234" s="537"/>
      <c r="B234" s="538"/>
      <c r="C234" s="538"/>
      <c r="D234" s="538"/>
      <c r="E234" s="538"/>
      <c r="F234" s="538"/>
      <c r="G234" s="538"/>
      <c r="H234" s="538"/>
      <c r="I234" s="538"/>
      <c r="J234" s="531"/>
      <c r="K234" s="531"/>
      <c r="L234" s="531"/>
      <c r="M234" s="531"/>
      <c r="N234" s="531"/>
      <c r="O234" s="531"/>
      <c r="P234" s="531"/>
      <c r="Q234" s="531"/>
      <c r="R234" s="531"/>
      <c r="S234" s="531"/>
      <c r="T234" s="531"/>
      <c r="U234" s="531"/>
      <c r="V234" s="531"/>
      <c r="W234" s="531"/>
      <c r="X234" s="531"/>
      <c r="Y234" s="532"/>
      <c r="Z234" s="537"/>
      <c r="AA234" s="538"/>
      <c r="AB234" s="538"/>
      <c r="AC234" s="538"/>
      <c r="AD234" s="538"/>
      <c r="AE234" s="538"/>
      <c r="AF234" s="538"/>
      <c r="AG234" s="531"/>
      <c r="AH234" s="531"/>
      <c r="AI234" s="531"/>
      <c r="AJ234" s="531"/>
      <c r="AK234" s="531"/>
      <c r="AL234" s="531"/>
      <c r="AM234" s="531"/>
      <c r="AN234" s="531"/>
      <c r="AO234" s="531"/>
      <c r="AP234" s="531"/>
      <c r="AQ234" s="531"/>
      <c r="AR234" s="531"/>
      <c r="AS234" s="531"/>
      <c r="AT234" s="531"/>
      <c r="AU234" s="531"/>
      <c r="AV234" s="531"/>
      <c r="AW234" s="531"/>
      <c r="AX234" s="532"/>
    </row>
    <row r="235" spans="1:50" ht="15" customHeight="1" x14ac:dyDescent="0.25">
      <c r="A235" s="524"/>
      <c r="B235" s="525"/>
      <c r="C235" s="525"/>
      <c r="D235" s="525"/>
      <c r="E235" s="525"/>
      <c r="F235" s="525"/>
      <c r="G235" s="525"/>
      <c r="H235" s="526" t="str">
        <f>IF(A236="","",LOOKUP(A236,BoonRef!$A$2:$A$430,BoonRef!$C$2:$C$430))</f>
        <v/>
      </c>
      <c r="I235" s="526"/>
      <c r="J235" s="527"/>
      <c r="K235" s="527"/>
      <c r="L235" s="527"/>
      <c r="M235" s="527"/>
      <c r="N235" s="527"/>
      <c r="O235" s="527"/>
      <c r="P235" s="527"/>
      <c r="Q235" s="527"/>
      <c r="R235" s="527"/>
      <c r="S235" s="527"/>
      <c r="T235" s="527"/>
      <c r="U235" s="527"/>
      <c r="V235" s="527"/>
      <c r="W235" s="527"/>
      <c r="X235" s="527"/>
      <c r="Y235" s="528"/>
      <c r="Z235" s="524"/>
      <c r="AA235" s="525"/>
      <c r="AB235" s="525"/>
      <c r="AC235" s="525"/>
      <c r="AD235" s="525"/>
      <c r="AE235" s="526" t="str">
        <f>IF(Z236="","",LOOKUP(Z236,KanckRef!$A$2:$A$170,KanckRef!$E$2:$E$170))</f>
        <v/>
      </c>
      <c r="AF235" s="526"/>
      <c r="AG235" s="527"/>
      <c r="AH235" s="527"/>
      <c r="AI235" s="527"/>
      <c r="AJ235" s="527"/>
      <c r="AK235" s="527"/>
      <c r="AL235" s="527"/>
      <c r="AM235" s="527"/>
      <c r="AN235" s="527"/>
      <c r="AO235" s="527"/>
      <c r="AP235" s="527"/>
      <c r="AQ235" s="527"/>
      <c r="AR235" s="527"/>
      <c r="AS235" s="527"/>
      <c r="AT235" s="527"/>
      <c r="AU235" s="527"/>
      <c r="AV235" s="527"/>
      <c r="AW235" s="527"/>
      <c r="AX235" s="528"/>
    </row>
    <row r="236" spans="1:50" ht="15" customHeight="1" x14ac:dyDescent="0.25">
      <c r="A236" s="533"/>
      <c r="B236" s="534"/>
      <c r="C236" s="534"/>
      <c r="D236" s="534"/>
      <c r="E236" s="534"/>
      <c r="F236" s="534"/>
      <c r="G236" s="534"/>
      <c r="H236" s="535" t="str">
        <f>IF(A236="","",LOOKUP(A236,BoonRef!$A$2:$A$430,BoonRef!$P$2:$P$430))</f>
        <v/>
      </c>
      <c r="I236" s="535"/>
      <c r="J236" s="529"/>
      <c r="K236" s="529"/>
      <c r="L236" s="529"/>
      <c r="M236" s="529"/>
      <c r="N236" s="529"/>
      <c r="O236" s="529"/>
      <c r="P236" s="529"/>
      <c r="Q236" s="529"/>
      <c r="R236" s="529"/>
      <c r="S236" s="529"/>
      <c r="T236" s="529"/>
      <c r="U236" s="529"/>
      <c r="V236" s="529"/>
      <c r="W236" s="529"/>
      <c r="X236" s="529"/>
      <c r="Y236" s="530"/>
      <c r="Z236" s="533"/>
      <c r="AA236" s="534"/>
      <c r="AB236" s="534"/>
      <c r="AC236" s="534"/>
      <c r="AD236" s="534"/>
      <c r="AE236" s="535" t="str">
        <f>IF(Z236="","",LOOKUP(Z236,KanckRef!$A$2:$A$170,KanckRef!$F$2:$F$170))</f>
        <v/>
      </c>
      <c r="AF236" s="535"/>
      <c r="AG236" s="529"/>
      <c r="AH236" s="529"/>
      <c r="AI236" s="529"/>
      <c r="AJ236" s="529"/>
      <c r="AK236" s="529"/>
      <c r="AL236" s="529"/>
      <c r="AM236" s="529"/>
      <c r="AN236" s="529"/>
      <c r="AO236" s="529"/>
      <c r="AP236" s="529"/>
      <c r="AQ236" s="529"/>
      <c r="AR236" s="529"/>
      <c r="AS236" s="529"/>
      <c r="AT236" s="529"/>
      <c r="AU236" s="529"/>
      <c r="AV236" s="529"/>
      <c r="AW236" s="529"/>
      <c r="AX236" s="530"/>
    </row>
    <row r="237" spans="1:50" x14ac:dyDescent="0.25">
      <c r="A237" s="533"/>
      <c r="B237" s="534"/>
      <c r="C237" s="534"/>
      <c r="D237" s="534"/>
      <c r="E237" s="534"/>
      <c r="F237" s="534"/>
      <c r="G237" s="534"/>
      <c r="H237" s="535" t="str">
        <f>IF(A236="","",LOOKUP(A236,BoonRef!$A$2:$A$430,BoonRef!$Q$2:$Q$430))</f>
        <v/>
      </c>
      <c r="I237" s="535"/>
      <c r="J237" s="529"/>
      <c r="K237" s="529"/>
      <c r="L237" s="529"/>
      <c r="M237" s="529"/>
      <c r="N237" s="529"/>
      <c r="O237" s="529"/>
      <c r="P237" s="529"/>
      <c r="Q237" s="529"/>
      <c r="R237" s="529"/>
      <c r="S237" s="529"/>
      <c r="T237" s="529"/>
      <c r="U237" s="529"/>
      <c r="V237" s="529"/>
      <c r="W237" s="529"/>
      <c r="X237" s="529"/>
      <c r="Y237" s="530"/>
      <c r="Z237" s="533"/>
      <c r="AA237" s="534"/>
      <c r="AB237" s="534"/>
      <c r="AC237" s="534"/>
      <c r="AD237" s="534"/>
      <c r="AE237" s="535"/>
      <c r="AF237" s="535"/>
      <c r="AG237" s="529"/>
      <c r="AH237" s="529"/>
      <c r="AI237" s="529"/>
      <c r="AJ237" s="529"/>
      <c r="AK237" s="529"/>
      <c r="AL237" s="529"/>
      <c r="AM237" s="529"/>
      <c r="AN237" s="529"/>
      <c r="AO237" s="529"/>
      <c r="AP237" s="529"/>
      <c r="AQ237" s="529"/>
      <c r="AR237" s="529"/>
      <c r="AS237" s="529"/>
      <c r="AT237" s="529"/>
      <c r="AU237" s="529"/>
      <c r="AV237" s="529"/>
      <c r="AW237" s="529"/>
      <c r="AX237" s="530"/>
    </row>
    <row r="238" spans="1:50" x14ac:dyDescent="0.25">
      <c r="A238" s="536" t="str">
        <f>IF(A236="","",LOOKUP(A236,BoonRef!$A$2:$A$430,BoonRef!$O$2:$O$430))</f>
        <v/>
      </c>
      <c r="B238" s="535"/>
      <c r="C238" s="535"/>
      <c r="D238" s="535"/>
      <c r="E238" s="535"/>
      <c r="F238" s="535"/>
      <c r="G238" s="535"/>
      <c r="H238" s="535"/>
      <c r="I238" s="535"/>
      <c r="J238" s="529"/>
      <c r="K238" s="529"/>
      <c r="L238" s="529"/>
      <c r="M238" s="529"/>
      <c r="N238" s="529"/>
      <c r="O238" s="529"/>
      <c r="P238" s="529"/>
      <c r="Q238" s="529"/>
      <c r="R238" s="529"/>
      <c r="S238" s="529"/>
      <c r="T238" s="529"/>
      <c r="U238" s="529"/>
      <c r="V238" s="529"/>
      <c r="W238" s="529"/>
      <c r="X238" s="529"/>
      <c r="Y238" s="530"/>
      <c r="Z238" s="536" t="str">
        <f>IF(Z236="","",LOOKUP(Z236,KanckRef!$A$2:$A$170,KanckRef!$D$2:$D$170))</f>
        <v/>
      </c>
      <c r="AA238" s="535"/>
      <c r="AB238" s="535"/>
      <c r="AC238" s="535"/>
      <c r="AD238" s="535"/>
      <c r="AE238" s="535"/>
      <c r="AF238" s="535"/>
      <c r="AG238" s="529"/>
      <c r="AH238" s="529"/>
      <c r="AI238" s="529"/>
      <c r="AJ238" s="529"/>
      <c r="AK238" s="529"/>
      <c r="AL238" s="529"/>
      <c r="AM238" s="529"/>
      <c r="AN238" s="529"/>
      <c r="AO238" s="529"/>
      <c r="AP238" s="529"/>
      <c r="AQ238" s="529"/>
      <c r="AR238" s="529"/>
      <c r="AS238" s="529"/>
      <c r="AT238" s="529"/>
      <c r="AU238" s="529"/>
      <c r="AV238" s="529"/>
      <c r="AW238" s="529"/>
      <c r="AX238" s="530"/>
    </row>
    <row r="239" spans="1:50" x14ac:dyDescent="0.25">
      <c r="A239" s="536" t="str">
        <f>IF(A236="","",LOOKUP(A236,BoonRef!$A$2:$A$430,BoonRef!$N$2:$N$430))</f>
        <v/>
      </c>
      <c r="B239" s="535"/>
      <c r="C239" s="535"/>
      <c r="D239" s="535"/>
      <c r="E239" s="535"/>
      <c r="F239" s="535"/>
      <c r="G239" s="535"/>
      <c r="H239" s="535"/>
      <c r="I239" s="535"/>
      <c r="J239" s="529"/>
      <c r="K239" s="529"/>
      <c r="L239" s="529"/>
      <c r="M239" s="529"/>
      <c r="N239" s="529"/>
      <c r="O239" s="529"/>
      <c r="P239" s="529"/>
      <c r="Q239" s="529"/>
      <c r="R239" s="529"/>
      <c r="S239" s="529"/>
      <c r="T239" s="529"/>
      <c r="U239" s="529"/>
      <c r="V239" s="529"/>
      <c r="W239" s="529"/>
      <c r="X239" s="529"/>
      <c r="Y239" s="530"/>
      <c r="Z239" s="536"/>
      <c r="AA239" s="535"/>
      <c r="AB239" s="535"/>
      <c r="AC239" s="535"/>
      <c r="AD239" s="535"/>
      <c r="AE239" s="535"/>
      <c r="AF239" s="535"/>
      <c r="AG239" s="529"/>
      <c r="AH239" s="529"/>
      <c r="AI239" s="529"/>
      <c r="AJ239" s="529"/>
      <c r="AK239" s="529"/>
      <c r="AL239" s="529"/>
      <c r="AM239" s="529"/>
      <c r="AN239" s="529"/>
      <c r="AO239" s="529"/>
      <c r="AP239" s="529"/>
      <c r="AQ239" s="529"/>
      <c r="AR239" s="529"/>
      <c r="AS239" s="529"/>
      <c r="AT239" s="529"/>
      <c r="AU239" s="529"/>
      <c r="AV239" s="529"/>
      <c r="AW239" s="529"/>
      <c r="AX239" s="530"/>
    </row>
    <row r="240" spans="1:50" ht="15" customHeight="1" thickBot="1" x14ac:dyDescent="0.3">
      <c r="A240" s="537"/>
      <c r="B240" s="538"/>
      <c r="C240" s="538"/>
      <c r="D240" s="538"/>
      <c r="E240" s="538"/>
      <c r="F240" s="538"/>
      <c r="G240" s="538"/>
      <c r="H240" s="538"/>
      <c r="I240" s="538"/>
      <c r="J240" s="531"/>
      <c r="K240" s="531"/>
      <c r="L240" s="531"/>
      <c r="M240" s="531"/>
      <c r="N240" s="531"/>
      <c r="O240" s="531"/>
      <c r="P240" s="531"/>
      <c r="Q240" s="531"/>
      <c r="R240" s="531"/>
      <c r="S240" s="531"/>
      <c r="T240" s="531"/>
      <c r="U240" s="531"/>
      <c r="V240" s="531"/>
      <c r="W240" s="531"/>
      <c r="X240" s="531"/>
      <c r="Y240" s="532"/>
      <c r="Z240" s="537"/>
      <c r="AA240" s="538"/>
      <c r="AB240" s="538"/>
      <c r="AC240" s="538"/>
      <c r="AD240" s="538"/>
      <c r="AE240" s="538"/>
      <c r="AF240" s="538"/>
      <c r="AG240" s="531"/>
      <c r="AH240" s="531"/>
      <c r="AI240" s="531"/>
      <c r="AJ240" s="531"/>
      <c r="AK240" s="531"/>
      <c r="AL240" s="531"/>
      <c r="AM240" s="531"/>
      <c r="AN240" s="531"/>
      <c r="AO240" s="531"/>
      <c r="AP240" s="531"/>
      <c r="AQ240" s="531"/>
      <c r="AR240" s="531"/>
      <c r="AS240" s="531"/>
      <c r="AT240" s="531"/>
      <c r="AU240" s="531"/>
      <c r="AV240" s="531"/>
      <c r="AW240" s="531"/>
      <c r="AX240" s="532"/>
    </row>
    <row r="241" spans="1:50" ht="15" customHeight="1" x14ac:dyDescent="0.25">
      <c r="A241" s="524"/>
      <c r="B241" s="525"/>
      <c r="C241" s="525"/>
      <c r="D241" s="525"/>
      <c r="E241" s="525"/>
      <c r="F241" s="525"/>
      <c r="G241" s="525"/>
      <c r="H241" s="526" t="str">
        <f>IF(A242="","",LOOKUP(A242,BoonRef!$A$2:$A$430,BoonRef!$C$2:$C$430))</f>
        <v/>
      </c>
      <c r="I241" s="526"/>
      <c r="J241" s="527"/>
      <c r="K241" s="527"/>
      <c r="L241" s="527"/>
      <c r="M241" s="527"/>
      <c r="N241" s="527"/>
      <c r="O241" s="527"/>
      <c r="P241" s="527"/>
      <c r="Q241" s="527"/>
      <c r="R241" s="527"/>
      <c r="S241" s="527"/>
      <c r="T241" s="527"/>
      <c r="U241" s="527"/>
      <c r="V241" s="527"/>
      <c r="W241" s="527"/>
      <c r="X241" s="527"/>
      <c r="Y241" s="528"/>
      <c r="Z241" s="524"/>
      <c r="AA241" s="525"/>
      <c r="AB241" s="525"/>
      <c r="AC241" s="525"/>
      <c r="AD241" s="525"/>
      <c r="AE241" s="526" t="str">
        <f>IF(Z242="","",LOOKUP(Z242,KanckRef!$A$2:$A$170,KanckRef!$E$2:$E$170))</f>
        <v/>
      </c>
      <c r="AF241" s="526"/>
      <c r="AG241" s="527"/>
      <c r="AH241" s="527"/>
      <c r="AI241" s="527"/>
      <c r="AJ241" s="527"/>
      <c r="AK241" s="527"/>
      <c r="AL241" s="527"/>
      <c r="AM241" s="527"/>
      <c r="AN241" s="527"/>
      <c r="AO241" s="527"/>
      <c r="AP241" s="527"/>
      <c r="AQ241" s="527"/>
      <c r="AR241" s="527"/>
      <c r="AS241" s="527"/>
      <c r="AT241" s="527"/>
      <c r="AU241" s="527"/>
      <c r="AV241" s="527"/>
      <c r="AW241" s="527"/>
      <c r="AX241" s="528"/>
    </row>
    <row r="242" spans="1:50" x14ac:dyDescent="0.25">
      <c r="A242" s="533"/>
      <c r="B242" s="534"/>
      <c r="C242" s="534"/>
      <c r="D242" s="534"/>
      <c r="E242" s="534"/>
      <c r="F242" s="534"/>
      <c r="G242" s="534"/>
      <c r="H242" s="535" t="str">
        <f>IF(A242="","",LOOKUP(A242,BoonRef!$A$2:$A$430,BoonRef!$P$2:$P$430))</f>
        <v/>
      </c>
      <c r="I242" s="535"/>
      <c r="J242" s="529"/>
      <c r="K242" s="529"/>
      <c r="L242" s="529"/>
      <c r="M242" s="529"/>
      <c r="N242" s="529"/>
      <c r="O242" s="529"/>
      <c r="P242" s="529"/>
      <c r="Q242" s="529"/>
      <c r="R242" s="529"/>
      <c r="S242" s="529"/>
      <c r="T242" s="529"/>
      <c r="U242" s="529"/>
      <c r="V242" s="529"/>
      <c r="W242" s="529"/>
      <c r="X242" s="529"/>
      <c r="Y242" s="530"/>
      <c r="Z242" s="533"/>
      <c r="AA242" s="534"/>
      <c r="AB242" s="534"/>
      <c r="AC242" s="534"/>
      <c r="AD242" s="534"/>
      <c r="AE242" s="535" t="str">
        <f>IF(Z242="","",LOOKUP(Z242,KanckRef!$A$2:$A$170,KanckRef!$F$2:$F$170))</f>
        <v/>
      </c>
      <c r="AF242" s="535"/>
      <c r="AG242" s="529"/>
      <c r="AH242" s="529"/>
      <c r="AI242" s="529"/>
      <c r="AJ242" s="529"/>
      <c r="AK242" s="529"/>
      <c r="AL242" s="529"/>
      <c r="AM242" s="529"/>
      <c r="AN242" s="529"/>
      <c r="AO242" s="529"/>
      <c r="AP242" s="529"/>
      <c r="AQ242" s="529"/>
      <c r="AR242" s="529"/>
      <c r="AS242" s="529"/>
      <c r="AT242" s="529"/>
      <c r="AU242" s="529"/>
      <c r="AV242" s="529"/>
      <c r="AW242" s="529"/>
      <c r="AX242" s="530"/>
    </row>
    <row r="243" spans="1:50" x14ac:dyDescent="0.25">
      <c r="A243" s="533"/>
      <c r="B243" s="534"/>
      <c r="C243" s="534"/>
      <c r="D243" s="534"/>
      <c r="E243" s="534"/>
      <c r="F243" s="534"/>
      <c r="G243" s="534"/>
      <c r="H243" s="535" t="str">
        <f>IF(A242="","",LOOKUP(A242,BoonRef!$A$2:$A$430,BoonRef!$Q$2:$Q$430))</f>
        <v/>
      </c>
      <c r="I243" s="535"/>
      <c r="J243" s="529"/>
      <c r="K243" s="529"/>
      <c r="L243" s="529"/>
      <c r="M243" s="529"/>
      <c r="N243" s="529"/>
      <c r="O243" s="529"/>
      <c r="P243" s="529"/>
      <c r="Q243" s="529"/>
      <c r="R243" s="529"/>
      <c r="S243" s="529"/>
      <c r="T243" s="529"/>
      <c r="U243" s="529"/>
      <c r="V243" s="529"/>
      <c r="W243" s="529"/>
      <c r="X243" s="529"/>
      <c r="Y243" s="530"/>
      <c r="Z243" s="533"/>
      <c r="AA243" s="534"/>
      <c r="AB243" s="534"/>
      <c r="AC243" s="534"/>
      <c r="AD243" s="534"/>
      <c r="AE243" s="535"/>
      <c r="AF243" s="535"/>
      <c r="AG243" s="529"/>
      <c r="AH243" s="529"/>
      <c r="AI243" s="529"/>
      <c r="AJ243" s="529"/>
      <c r="AK243" s="529"/>
      <c r="AL243" s="529"/>
      <c r="AM243" s="529"/>
      <c r="AN243" s="529"/>
      <c r="AO243" s="529"/>
      <c r="AP243" s="529"/>
      <c r="AQ243" s="529"/>
      <c r="AR243" s="529"/>
      <c r="AS243" s="529"/>
      <c r="AT243" s="529"/>
      <c r="AU243" s="529"/>
      <c r="AV243" s="529"/>
      <c r="AW243" s="529"/>
      <c r="AX243" s="530"/>
    </row>
    <row r="244" spans="1:50" x14ac:dyDescent="0.25">
      <c r="A244" s="536" t="str">
        <f>IF(A242="","",LOOKUP(A242,BoonRef!$A$2:$A$430,BoonRef!$O$2:$O$430))</f>
        <v/>
      </c>
      <c r="B244" s="535"/>
      <c r="C244" s="535"/>
      <c r="D244" s="535"/>
      <c r="E244" s="535"/>
      <c r="F244" s="535"/>
      <c r="G244" s="535"/>
      <c r="H244" s="535"/>
      <c r="I244" s="535"/>
      <c r="J244" s="529"/>
      <c r="K244" s="529"/>
      <c r="L244" s="529"/>
      <c r="M244" s="529"/>
      <c r="N244" s="529"/>
      <c r="O244" s="529"/>
      <c r="P244" s="529"/>
      <c r="Q244" s="529"/>
      <c r="R244" s="529"/>
      <c r="S244" s="529"/>
      <c r="T244" s="529"/>
      <c r="U244" s="529"/>
      <c r="V244" s="529"/>
      <c r="W244" s="529"/>
      <c r="X244" s="529"/>
      <c r="Y244" s="530"/>
      <c r="Z244" s="536" t="str">
        <f>IF(Z242="","",LOOKUP(Z242,KanckRef!$A$2:$A$170,KanckRef!$D$2:$D$170))</f>
        <v/>
      </c>
      <c r="AA244" s="535"/>
      <c r="AB244" s="535"/>
      <c r="AC244" s="535"/>
      <c r="AD244" s="535"/>
      <c r="AE244" s="535"/>
      <c r="AF244" s="535"/>
      <c r="AG244" s="529"/>
      <c r="AH244" s="529"/>
      <c r="AI244" s="529"/>
      <c r="AJ244" s="529"/>
      <c r="AK244" s="529"/>
      <c r="AL244" s="529"/>
      <c r="AM244" s="529"/>
      <c r="AN244" s="529"/>
      <c r="AO244" s="529"/>
      <c r="AP244" s="529"/>
      <c r="AQ244" s="529"/>
      <c r="AR244" s="529"/>
      <c r="AS244" s="529"/>
      <c r="AT244" s="529"/>
      <c r="AU244" s="529"/>
      <c r="AV244" s="529"/>
      <c r="AW244" s="529"/>
      <c r="AX244" s="530"/>
    </row>
    <row r="245" spans="1:50" ht="15" customHeight="1" x14ac:dyDescent="0.25">
      <c r="A245" s="536" t="str">
        <f>IF(A242="","",LOOKUP(A242,BoonRef!$A$2:$A$430,BoonRef!$N$2:$N$430))</f>
        <v/>
      </c>
      <c r="B245" s="535"/>
      <c r="C245" s="535"/>
      <c r="D245" s="535"/>
      <c r="E245" s="535"/>
      <c r="F245" s="535"/>
      <c r="G245" s="535"/>
      <c r="H245" s="535"/>
      <c r="I245" s="535"/>
      <c r="J245" s="529"/>
      <c r="K245" s="529"/>
      <c r="L245" s="529"/>
      <c r="M245" s="529"/>
      <c r="N245" s="529"/>
      <c r="O245" s="529"/>
      <c r="P245" s="529"/>
      <c r="Q245" s="529"/>
      <c r="R245" s="529"/>
      <c r="S245" s="529"/>
      <c r="T245" s="529"/>
      <c r="U245" s="529"/>
      <c r="V245" s="529"/>
      <c r="W245" s="529"/>
      <c r="X245" s="529"/>
      <c r="Y245" s="530"/>
      <c r="Z245" s="536"/>
      <c r="AA245" s="535"/>
      <c r="AB245" s="535"/>
      <c r="AC245" s="535"/>
      <c r="AD245" s="535"/>
      <c r="AE245" s="535"/>
      <c r="AF245" s="535"/>
      <c r="AG245" s="529"/>
      <c r="AH245" s="529"/>
      <c r="AI245" s="529"/>
      <c r="AJ245" s="529"/>
      <c r="AK245" s="529"/>
      <c r="AL245" s="529"/>
      <c r="AM245" s="529"/>
      <c r="AN245" s="529"/>
      <c r="AO245" s="529"/>
      <c r="AP245" s="529"/>
      <c r="AQ245" s="529"/>
      <c r="AR245" s="529"/>
      <c r="AS245" s="529"/>
      <c r="AT245" s="529"/>
      <c r="AU245" s="529"/>
      <c r="AV245" s="529"/>
      <c r="AW245" s="529"/>
      <c r="AX245" s="530"/>
    </row>
    <row r="246" spans="1:50" ht="15" customHeight="1" thickBot="1" x14ac:dyDescent="0.3">
      <c r="A246" s="537"/>
      <c r="B246" s="538"/>
      <c r="C246" s="538"/>
      <c r="D246" s="538"/>
      <c r="E246" s="538"/>
      <c r="F246" s="538"/>
      <c r="G246" s="538"/>
      <c r="H246" s="538"/>
      <c r="I246" s="538"/>
      <c r="J246" s="531"/>
      <c r="K246" s="531"/>
      <c r="L246" s="531"/>
      <c r="M246" s="531"/>
      <c r="N246" s="531"/>
      <c r="O246" s="531"/>
      <c r="P246" s="531"/>
      <c r="Q246" s="531"/>
      <c r="R246" s="531"/>
      <c r="S246" s="531"/>
      <c r="T246" s="531"/>
      <c r="U246" s="531"/>
      <c r="V246" s="531"/>
      <c r="W246" s="531"/>
      <c r="X246" s="531"/>
      <c r="Y246" s="532"/>
      <c r="Z246" s="537"/>
      <c r="AA246" s="538"/>
      <c r="AB246" s="538"/>
      <c r="AC246" s="538"/>
      <c r="AD246" s="538"/>
      <c r="AE246" s="538"/>
      <c r="AF246" s="538"/>
      <c r="AG246" s="531"/>
      <c r="AH246" s="531"/>
      <c r="AI246" s="531"/>
      <c r="AJ246" s="531"/>
      <c r="AK246" s="531"/>
      <c r="AL246" s="531"/>
      <c r="AM246" s="531"/>
      <c r="AN246" s="531"/>
      <c r="AO246" s="531"/>
      <c r="AP246" s="531"/>
      <c r="AQ246" s="531"/>
      <c r="AR246" s="531"/>
      <c r="AS246" s="531"/>
      <c r="AT246" s="531"/>
      <c r="AU246" s="531"/>
      <c r="AV246" s="531"/>
      <c r="AW246" s="531"/>
      <c r="AX246" s="532"/>
    </row>
    <row r="247" spans="1:50" x14ac:dyDescent="0.25">
      <c r="A247" s="524"/>
      <c r="B247" s="525"/>
      <c r="C247" s="525"/>
      <c r="D247" s="525"/>
      <c r="E247" s="525"/>
      <c r="F247" s="525"/>
      <c r="G247" s="525"/>
      <c r="H247" s="526" t="str">
        <f>IF(A248="","",LOOKUP(A248,BoonRef!$A$2:$A$430,BoonRef!$C$2:$C$430))</f>
        <v/>
      </c>
      <c r="I247" s="526"/>
      <c r="J247" s="527"/>
      <c r="K247" s="527"/>
      <c r="L247" s="527"/>
      <c r="M247" s="527"/>
      <c r="N247" s="527"/>
      <c r="O247" s="527"/>
      <c r="P247" s="527"/>
      <c r="Q247" s="527"/>
      <c r="R247" s="527"/>
      <c r="S247" s="527"/>
      <c r="T247" s="527"/>
      <c r="U247" s="527"/>
      <c r="V247" s="527"/>
      <c r="W247" s="527"/>
      <c r="X247" s="527"/>
      <c r="Y247" s="528"/>
      <c r="Z247" s="524"/>
      <c r="AA247" s="525"/>
      <c r="AB247" s="525"/>
      <c r="AC247" s="525"/>
      <c r="AD247" s="525"/>
      <c r="AE247" s="526" t="str">
        <f>IF(Z248="","",LOOKUP(Z248,KanckRef!$A$2:$A$170,KanckRef!$E$2:$E$170))</f>
        <v/>
      </c>
      <c r="AF247" s="526"/>
      <c r="AG247" s="527"/>
      <c r="AH247" s="527"/>
      <c r="AI247" s="527"/>
      <c r="AJ247" s="527"/>
      <c r="AK247" s="527"/>
      <c r="AL247" s="527"/>
      <c r="AM247" s="527"/>
      <c r="AN247" s="527"/>
      <c r="AO247" s="527"/>
      <c r="AP247" s="527"/>
      <c r="AQ247" s="527"/>
      <c r="AR247" s="527"/>
      <c r="AS247" s="527"/>
      <c r="AT247" s="527"/>
      <c r="AU247" s="527"/>
      <c r="AV247" s="527"/>
      <c r="AW247" s="527"/>
      <c r="AX247" s="528"/>
    </row>
    <row r="248" spans="1:50" x14ac:dyDescent="0.25">
      <c r="A248" s="533"/>
      <c r="B248" s="534"/>
      <c r="C248" s="534"/>
      <c r="D248" s="534"/>
      <c r="E248" s="534"/>
      <c r="F248" s="534"/>
      <c r="G248" s="534"/>
      <c r="H248" s="535" t="str">
        <f>IF(A248="","",LOOKUP(A248,BoonRef!$A$2:$A$430,BoonRef!$P$2:$P$430))</f>
        <v/>
      </c>
      <c r="I248" s="535"/>
      <c r="J248" s="529"/>
      <c r="K248" s="529"/>
      <c r="L248" s="529"/>
      <c r="M248" s="529"/>
      <c r="N248" s="529"/>
      <c r="O248" s="529"/>
      <c r="P248" s="529"/>
      <c r="Q248" s="529"/>
      <c r="R248" s="529"/>
      <c r="S248" s="529"/>
      <c r="T248" s="529"/>
      <c r="U248" s="529"/>
      <c r="V248" s="529"/>
      <c r="W248" s="529"/>
      <c r="X248" s="529"/>
      <c r="Y248" s="530"/>
      <c r="Z248" s="533"/>
      <c r="AA248" s="534"/>
      <c r="AB248" s="534"/>
      <c r="AC248" s="534"/>
      <c r="AD248" s="534"/>
      <c r="AE248" s="535" t="str">
        <f>IF(Z248="","",LOOKUP(Z248,KanckRef!$A$2:$A$170,KanckRef!$F$2:$F$170))</f>
        <v/>
      </c>
      <c r="AF248" s="535"/>
      <c r="AG248" s="529"/>
      <c r="AH248" s="529"/>
      <c r="AI248" s="529"/>
      <c r="AJ248" s="529"/>
      <c r="AK248" s="529"/>
      <c r="AL248" s="529"/>
      <c r="AM248" s="529"/>
      <c r="AN248" s="529"/>
      <c r="AO248" s="529"/>
      <c r="AP248" s="529"/>
      <c r="AQ248" s="529"/>
      <c r="AR248" s="529"/>
      <c r="AS248" s="529"/>
      <c r="AT248" s="529"/>
      <c r="AU248" s="529"/>
      <c r="AV248" s="529"/>
      <c r="AW248" s="529"/>
      <c r="AX248" s="530"/>
    </row>
    <row r="249" spans="1:50" x14ac:dyDescent="0.25">
      <c r="A249" s="533"/>
      <c r="B249" s="534"/>
      <c r="C249" s="534"/>
      <c r="D249" s="534"/>
      <c r="E249" s="534"/>
      <c r="F249" s="534"/>
      <c r="G249" s="534"/>
      <c r="H249" s="535" t="str">
        <f>IF(A248="","",LOOKUP(A248,BoonRef!$A$2:$A$430,BoonRef!$Q$2:$Q$430))</f>
        <v/>
      </c>
      <c r="I249" s="535"/>
      <c r="J249" s="529"/>
      <c r="K249" s="529"/>
      <c r="L249" s="529"/>
      <c r="M249" s="529"/>
      <c r="N249" s="529"/>
      <c r="O249" s="529"/>
      <c r="P249" s="529"/>
      <c r="Q249" s="529"/>
      <c r="R249" s="529"/>
      <c r="S249" s="529"/>
      <c r="T249" s="529"/>
      <c r="U249" s="529"/>
      <c r="V249" s="529"/>
      <c r="W249" s="529"/>
      <c r="X249" s="529"/>
      <c r="Y249" s="530"/>
      <c r="Z249" s="533"/>
      <c r="AA249" s="534"/>
      <c r="AB249" s="534"/>
      <c r="AC249" s="534"/>
      <c r="AD249" s="534"/>
      <c r="AE249" s="535"/>
      <c r="AF249" s="535"/>
      <c r="AG249" s="529"/>
      <c r="AH249" s="529"/>
      <c r="AI249" s="529"/>
      <c r="AJ249" s="529"/>
      <c r="AK249" s="529"/>
      <c r="AL249" s="529"/>
      <c r="AM249" s="529"/>
      <c r="AN249" s="529"/>
      <c r="AO249" s="529"/>
      <c r="AP249" s="529"/>
      <c r="AQ249" s="529"/>
      <c r="AR249" s="529"/>
      <c r="AS249" s="529"/>
      <c r="AT249" s="529"/>
      <c r="AU249" s="529"/>
      <c r="AV249" s="529"/>
      <c r="AW249" s="529"/>
      <c r="AX249" s="530"/>
    </row>
    <row r="250" spans="1:50" ht="15" customHeight="1" x14ac:dyDescent="0.25">
      <c r="A250" s="536" t="str">
        <f>IF(A248="","",LOOKUP(A248,BoonRef!$A$2:$A$430,BoonRef!$O$2:$O$430))</f>
        <v/>
      </c>
      <c r="B250" s="535"/>
      <c r="C250" s="535"/>
      <c r="D250" s="535"/>
      <c r="E250" s="535"/>
      <c r="F250" s="535"/>
      <c r="G250" s="535"/>
      <c r="H250" s="535"/>
      <c r="I250" s="535"/>
      <c r="J250" s="529"/>
      <c r="K250" s="529"/>
      <c r="L250" s="529"/>
      <c r="M250" s="529"/>
      <c r="N250" s="529"/>
      <c r="O250" s="529"/>
      <c r="P250" s="529"/>
      <c r="Q250" s="529"/>
      <c r="R250" s="529"/>
      <c r="S250" s="529"/>
      <c r="T250" s="529"/>
      <c r="U250" s="529"/>
      <c r="V250" s="529"/>
      <c r="W250" s="529"/>
      <c r="X250" s="529"/>
      <c r="Y250" s="530"/>
      <c r="Z250" s="536" t="str">
        <f>IF(Z248="","",LOOKUP(Z248,KanckRef!$A$2:$A$170,KanckRef!$D$2:$D$170))</f>
        <v/>
      </c>
      <c r="AA250" s="535"/>
      <c r="AB250" s="535"/>
      <c r="AC250" s="535"/>
      <c r="AD250" s="535"/>
      <c r="AE250" s="535"/>
      <c r="AF250" s="535"/>
      <c r="AG250" s="529"/>
      <c r="AH250" s="529"/>
      <c r="AI250" s="529"/>
      <c r="AJ250" s="529"/>
      <c r="AK250" s="529"/>
      <c r="AL250" s="529"/>
      <c r="AM250" s="529"/>
      <c r="AN250" s="529"/>
      <c r="AO250" s="529"/>
      <c r="AP250" s="529"/>
      <c r="AQ250" s="529"/>
      <c r="AR250" s="529"/>
      <c r="AS250" s="529"/>
      <c r="AT250" s="529"/>
      <c r="AU250" s="529"/>
      <c r="AV250" s="529"/>
      <c r="AW250" s="529"/>
      <c r="AX250" s="530"/>
    </row>
    <row r="251" spans="1:50" ht="15" customHeight="1" x14ac:dyDescent="0.25">
      <c r="A251" s="536" t="str">
        <f>IF(A248="","",LOOKUP(A248,BoonRef!$A$2:$A$430,BoonRef!$N$2:$N$430))</f>
        <v/>
      </c>
      <c r="B251" s="535"/>
      <c r="C251" s="535"/>
      <c r="D251" s="535"/>
      <c r="E251" s="535"/>
      <c r="F251" s="535"/>
      <c r="G251" s="535"/>
      <c r="H251" s="535"/>
      <c r="I251" s="535"/>
      <c r="J251" s="529"/>
      <c r="K251" s="529"/>
      <c r="L251" s="529"/>
      <c r="M251" s="529"/>
      <c r="N251" s="529"/>
      <c r="O251" s="529"/>
      <c r="P251" s="529"/>
      <c r="Q251" s="529"/>
      <c r="R251" s="529"/>
      <c r="S251" s="529"/>
      <c r="T251" s="529"/>
      <c r="U251" s="529"/>
      <c r="V251" s="529"/>
      <c r="W251" s="529"/>
      <c r="X251" s="529"/>
      <c r="Y251" s="530"/>
      <c r="Z251" s="536"/>
      <c r="AA251" s="535"/>
      <c r="AB251" s="535"/>
      <c r="AC251" s="535"/>
      <c r="AD251" s="535"/>
      <c r="AE251" s="535"/>
      <c r="AF251" s="535"/>
      <c r="AG251" s="529"/>
      <c r="AH251" s="529"/>
      <c r="AI251" s="529"/>
      <c r="AJ251" s="529"/>
      <c r="AK251" s="529"/>
      <c r="AL251" s="529"/>
      <c r="AM251" s="529"/>
      <c r="AN251" s="529"/>
      <c r="AO251" s="529"/>
      <c r="AP251" s="529"/>
      <c r="AQ251" s="529"/>
      <c r="AR251" s="529"/>
      <c r="AS251" s="529"/>
      <c r="AT251" s="529"/>
      <c r="AU251" s="529"/>
      <c r="AV251" s="529"/>
      <c r="AW251" s="529"/>
      <c r="AX251" s="530"/>
    </row>
    <row r="252" spans="1:50" ht="15.75" thickBot="1" x14ac:dyDescent="0.3">
      <c r="A252" s="537"/>
      <c r="B252" s="538"/>
      <c r="C252" s="538"/>
      <c r="D252" s="538"/>
      <c r="E252" s="538"/>
      <c r="F252" s="538"/>
      <c r="G252" s="538"/>
      <c r="H252" s="538"/>
      <c r="I252" s="538"/>
      <c r="J252" s="531"/>
      <c r="K252" s="531"/>
      <c r="L252" s="531"/>
      <c r="M252" s="531"/>
      <c r="N252" s="531"/>
      <c r="O252" s="531"/>
      <c r="P252" s="531"/>
      <c r="Q252" s="531"/>
      <c r="R252" s="531"/>
      <c r="S252" s="531"/>
      <c r="T252" s="531"/>
      <c r="U252" s="531"/>
      <c r="V252" s="531"/>
      <c r="W252" s="531"/>
      <c r="X252" s="531"/>
      <c r="Y252" s="532"/>
      <c r="Z252" s="537"/>
      <c r="AA252" s="538"/>
      <c r="AB252" s="538"/>
      <c r="AC252" s="538"/>
      <c r="AD252" s="538"/>
      <c r="AE252" s="538"/>
      <c r="AF252" s="538"/>
      <c r="AG252" s="531"/>
      <c r="AH252" s="531"/>
      <c r="AI252" s="531"/>
      <c r="AJ252" s="531"/>
      <c r="AK252" s="531"/>
      <c r="AL252" s="531"/>
      <c r="AM252" s="531"/>
      <c r="AN252" s="531"/>
      <c r="AO252" s="531"/>
      <c r="AP252" s="531"/>
      <c r="AQ252" s="531"/>
      <c r="AR252" s="531"/>
      <c r="AS252" s="531"/>
      <c r="AT252" s="531"/>
      <c r="AU252" s="531"/>
      <c r="AV252" s="531"/>
      <c r="AW252" s="531"/>
      <c r="AX252" s="532"/>
    </row>
    <row r="253" spans="1:50" x14ac:dyDescent="0.25">
      <c r="A253" s="524"/>
      <c r="B253" s="525"/>
      <c r="C253" s="525"/>
      <c r="D253" s="525"/>
      <c r="E253" s="525"/>
      <c r="F253" s="525"/>
      <c r="G253" s="525"/>
      <c r="H253" s="526" t="str">
        <f>IF(A254="","",LOOKUP(A254,BoonRef!$A$2:$A$430,BoonRef!$C$2:$C$430))</f>
        <v/>
      </c>
      <c r="I253" s="526"/>
      <c r="J253" s="527"/>
      <c r="K253" s="527"/>
      <c r="L253" s="527"/>
      <c r="M253" s="527"/>
      <c r="N253" s="527"/>
      <c r="O253" s="527"/>
      <c r="P253" s="527"/>
      <c r="Q253" s="527"/>
      <c r="R253" s="527"/>
      <c r="S253" s="527"/>
      <c r="T253" s="527"/>
      <c r="U253" s="527"/>
      <c r="V253" s="527"/>
      <c r="W253" s="527"/>
      <c r="X253" s="527"/>
      <c r="Y253" s="528"/>
      <c r="Z253" s="524"/>
      <c r="AA253" s="525"/>
      <c r="AB253" s="525"/>
      <c r="AC253" s="525"/>
      <c r="AD253" s="525"/>
      <c r="AE253" s="526" t="str">
        <f>IF(Z254="","",LOOKUP(Z254,KanckRef!$A$2:$A$170,KanckRef!$E$2:$E$170))</f>
        <v/>
      </c>
      <c r="AF253" s="526"/>
      <c r="AG253" s="527"/>
      <c r="AH253" s="527"/>
      <c r="AI253" s="527"/>
      <c r="AJ253" s="527"/>
      <c r="AK253" s="527"/>
      <c r="AL253" s="527"/>
      <c r="AM253" s="527"/>
      <c r="AN253" s="527"/>
      <c r="AO253" s="527"/>
      <c r="AP253" s="527"/>
      <c r="AQ253" s="527"/>
      <c r="AR253" s="527"/>
      <c r="AS253" s="527"/>
      <c r="AT253" s="527"/>
      <c r="AU253" s="527"/>
      <c r="AV253" s="527"/>
      <c r="AW253" s="527"/>
      <c r="AX253" s="528"/>
    </row>
    <row r="254" spans="1:50" x14ac:dyDescent="0.25">
      <c r="A254" s="533"/>
      <c r="B254" s="534"/>
      <c r="C254" s="534"/>
      <c r="D254" s="534"/>
      <c r="E254" s="534"/>
      <c r="F254" s="534"/>
      <c r="G254" s="534"/>
      <c r="H254" s="535" t="str">
        <f>IF(A254="","",LOOKUP(A254,BoonRef!$A$2:$A$430,BoonRef!$P$2:$P$430))</f>
        <v/>
      </c>
      <c r="I254" s="535"/>
      <c r="J254" s="529"/>
      <c r="K254" s="529"/>
      <c r="L254" s="529"/>
      <c r="M254" s="529"/>
      <c r="N254" s="529"/>
      <c r="O254" s="529"/>
      <c r="P254" s="529"/>
      <c r="Q254" s="529"/>
      <c r="R254" s="529"/>
      <c r="S254" s="529"/>
      <c r="T254" s="529"/>
      <c r="U254" s="529"/>
      <c r="V254" s="529"/>
      <c r="W254" s="529"/>
      <c r="X254" s="529"/>
      <c r="Y254" s="530"/>
      <c r="Z254" s="533"/>
      <c r="AA254" s="534"/>
      <c r="AB254" s="534"/>
      <c r="AC254" s="534"/>
      <c r="AD254" s="534"/>
      <c r="AE254" s="535" t="str">
        <f>IF(Z254="","",LOOKUP(Z254,KanckRef!$A$2:$A$170,KanckRef!$F$2:$F$170))</f>
        <v/>
      </c>
      <c r="AF254" s="535"/>
      <c r="AG254" s="529"/>
      <c r="AH254" s="529"/>
      <c r="AI254" s="529"/>
      <c r="AJ254" s="529"/>
      <c r="AK254" s="529"/>
      <c r="AL254" s="529"/>
      <c r="AM254" s="529"/>
      <c r="AN254" s="529"/>
      <c r="AO254" s="529"/>
      <c r="AP254" s="529"/>
      <c r="AQ254" s="529"/>
      <c r="AR254" s="529"/>
      <c r="AS254" s="529"/>
      <c r="AT254" s="529"/>
      <c r="AU254" s="529"/>
      <c r="AV254" s="529"/>
      <c r="AW254" s="529"/>
      <c r="AX254" s="530"/>
    </row>
    <row r="255" spans="1:50" ht="15" customHeight="1" x14ac:dyDescent="0.25">
      <c r="A255" s="533"/>
      <c r="B255" s="534"/>
      <c r="C255" s="534"/>
      <c r="D255" s="534"/>
      <c r="E255" s="534"/>
      <c r="F255" s="534"/>
      <c r="G255" s="534"/>
      <c r="H255" s="535" t="str">
        <f>IF(A254="","",LOOKUP(A254,BoonRef!$A$2:$A$430,BoonRef!$Q$2:$Q$430))</f>
        <v/>
      </c>
      <c r="I255" s="535"/>
      <c r="J255" s="529"/>
      <c r="K255" s="529"/>
      <c r="L255" s="529"/>
      <c r="M255" s="529"/>
      <c r="N255" s="529"/>
      <c r="O255" s="529"/>
      <c r="P255" s="529"/>
      <c r="Q255" s="529"/>
      <c r="R255" s="529"/>
      <c r="S255" s="529"/>
      <c r="T255" s="529"/>
      <c r="U255" s="529"/>
      <c r="V255" s="529"/>
      <c r="W255" s="529"/>
      <c r="X255" s="529"/>
      <c r="Y255" s="530"/>
      <c r="Z255" s="533"/>
      <c r="AA255" s="534"/>
      <c r="AB255" s="534"/>
      <c r="AC255" s="534"/>
      <c r="AD255" s="534"/>
      <c r="AE255" s="535"/>
      <c r="AF255" s="535"/>
      <c r="AG255" s="529"/>
      <c r="AH255" s="529"/>
      <c r="AI255" s="529"/>
      <c r="AJ255" s="529"/>
      <c r="AK255" s="529"/>
      <c r="AL255" s="529"/>
      <c r="AM255" s="529"/>
      <c r="AN255" s="529"/>
      <c r="AO255" s="529"/>
      <c r="AP255" s="529"/>
      <c r="AQ255" s="529"/>
      <c r="AR255" s="529"/>
      <c r="AS255" s="529"/>
      <c r="AT255" s="529"/>
      <c r="AU255" s="529"/>
      <c r="AV255" s="529"/>
      <c r="AW255" s="529"/>
      <c r="AX255" s="530"/>
    </row>
    <row r="256" spans="1:50" ht="15" customHeight="1" x14ac:dyDescent="0.25">
      <c r="A256" s="536" t="str">
        <f>IF(A254="","",LOOKUP(A254,BoonRef!$A$2:$A$430,BoonRef!$O$2:$O$430))</f>
        <v/>
      </c>
      <c r="B256" s="535"/>
      <c r="C256" s="535"/>
      <c r="D256" s="535"/>
      <c r="E256" s="535"/>
      <c r="F256" s="535"/>
      <c r="G256" s="535"/>
      <c r="H256" s="535"/>
      <c r="I256" s="535"/>
      <c r="J256" s="529"/>
      <c r="K256" s="529"/>
      <c r="L256" s="529"/>
      <c r="M256" s="529"/>
      <c r="N256" s="529"/>
      <c r="O256" s="529"/>
      <c r="P256" s="529"/>
      <c r="Q256" s="529"/>
      <c r="R256" s="529"/>
      <c r="S256" s="529"/>
      <c r="T256" s="529"/>
      <c r="U256" s="529"/>
      <c r="V256" s="529"/>
      <c r="W256" s="529"/>
      <c r="X256" s="529"/>
      <c r="Y256" s="530"/>
      <c r="Z256" s="536" t="str">
        <f>IF(Z254="","",LOOKUP(Z254,KanckRef!$A$2:$A$170,KanckRef!$D$2:$D$170))</f>
        <v/>
      </c>
      <c r="AA256" s="535"/>
      <c r="AB256" s="535"/>
      <c r="AC256" s="535"/>
      <c r="AD256" s="535"/>
      <c r="AE256" s="535"/>
      <c r="AF256" s="535"/>
      <c r="AG256" s="529"/>
      <c r="AH256" s="529"/>
      <c r="AI256" s="529"/>
      <c r="AJ256" s="529"/>
      <c r="AK256" s="529"/>
      <c r="AL256" s="529"/>
      <c r="AM256" s="529"/>
      <c r="AN256" s="529"/>
      <c r="AO256" s="529"/>
      <c r="AP256" s="529"/>
      <c r="AQ256" s="529"/>
      <c r="AR256" s="529"/>
      <c r="AS256" s="529"/>
      <c r="AT256" s="529"/>
      <c r="AU256" s="529"/>
      <c r="AV256" s="529"/>
      <c r="AW256" s="529"/>
      <c r="AX256" s="530"/>
    </row>
    <row r="257" spans="1:50" x14ac:dyDescent="0.25">
      <c r="A257" s="536" t="str">
        <f>IF(A254="","",LOOKUP(A254,BoonRef!$A$2:$A$430,BoonRef!$N$2:$N$430))</f>
        <v/>
      </c>
      <c r="B257" s="535"/>
      <c r="C257" s="535"/>
      <c r="D257" s="535"/>
      <c r="E257" s="535"/>
      <c r="F257" s="535"/>
      <c r="G257" s="535"/>
      <c r="H257" s="535"/>
      <c r="I257" s="535"/>
      <c r="J257" s="529"/>
      <c r="K257" s="529"/>
      <c r="L257" s="529"/>
      <c r="M257" s="529"/>
      <c r="N257" s="529"/>
      <c r="O257" s="529"/>
      <c r="P257" s="529"/>
      <c r="Q257" s="529"/>
      <c r="R257" s="529"/>
      <c r="S257" s="529"/>
      <c r="T257" s="529"/>
      <c r="U257" s="529"/>
      <c r="V257" s="529"/>
      <c r="W257" s="529"/>
      <c r="X257" s="529"/>
      <c r="Y257" s="530"/>
      <c r="Z257" s="536"/>
      <c r="AA257" s="535"/>
      <c r="AB257" s="535"/>
      <c r="AC257" s="535"/>
      <c r="AD257" s="535"/>
      <c r="AE257" s="535"/>
      <c r="AF257" s="535"/>
      <c r="AG257" s="529"/>
      <c r="AH257" s="529"/>
      <c r="AI257" s="529"/>
      <c r="AJ257" s="529"/>
      <c r="AK257" s="529"/>
      <c r="AL257" s="529"/>
      <c r="AM257" s="529"/>
      <c r="AN257" s="529"/>
      <c r="AO257" s="529"/>
      <c r="AP257" s="529"/>
      <c r="AQ257" s="529"/>
      <c r="AR257" s="529"/>
      <c r="AS257" s="529"/>
      <c r="AT257" s="529"/>
      <c r="AU257" s="529"/>
      <c r="AV257" s="529"/>
      <c r="AW257" s="529"/>
      <c r="AX257" s="530"/>
    </row>
    <row r="258" spans="1:50" ht="15.75" thickBot="1" x14ac:dyDescent="0.3">
      <c r="A258" s="537"/>
      <c r="B258" s="538"/>
      <c r="C258" s="538"/>
      <c r="D258" s="538"/>
      <c r="E258" s="538"/>
      <c r="F258" s="538"/>
      <c r="G258" s="538"/>
      <c r="H258" s="538"/>
      <c r="I258" s="538"/>
      <c r="J258" s="531"/>
      <c r="K258" s="531"/>
      <c r="L258" s="531"/>
      <c r="M258" s="531"/>
      <c r="N258" s="531"/>
      <c r="O258" s="531"/>
      <c r="P258" s="531"/>
      <c r="Q258" s="531"/>
      <c r="R258" s="531"/>
      <c r="S258" s="531"/>
      <c r="T258" s="531"/>
      <c r="U258" s="531"/>
      <c r="V258" s="531"/>
      <c r="W258" s="531"/>
      <c r="X258" s="531"/>
      <c r="Y258" s="532"/>
      <c r="Z258" s="537"/>
      <c r="AA258" s="538"/>
      <c r="AB258" s="538"/>
      <c r="AC258" s="538"/>
      <c r="AD258" s="538"/>
      <c r="AE258" s="538"/>
      <c r="AF258" s="538"/>
      <c r="AG258" s="531"/>
      <c r="AH258" s="531"/>
      <c r="AI258" s="531"/>
      <c r="AJ258" s="531"/>
      <c r="AK258" s="531"/>
      <c r="AL258" s="531"/>
      <c r="AM258" s="531"/>
      <c r="AN258" s="531"/>
      <c r="AO258" s="531"/>
      <c r="AP258" s="531"/>
      <c r="AQ258" s="531"/>
      <c r="AR258" s="531"/>
      <c r="AS258" s="531"/>
      <c r="AT258" s="531"/>
      <c r="AU258" s="531"/>
      <c r="AV258" s="531"/>
      <c r="AW258" s="531"/>
      <c r="AX258" s="532"/>
    </row>
    <row r="259" spans="1:50" x14ac:dyDescent="0.25">
      <c r="A259" s="524"/>
      <c r="B259" s="525"/>
      <c r="C259" s="525"/>
      <c r="D259" s="525"/>
      <c r="E259" s="525"/>
      <c r="F259" s="525"/>
      <c r="G259" s="525"/>
      <c r="H259" s="526" t="str">
        <f>IF(A260="","",LOOKUP(A260,BoonRef!$A$2:$A$430,BoonRef!$C$2:$C$430))</f>
        <v/>
      </c>
      <c r="I259" s="526"/>
      <c r="J259" s="527"/>
      <c r="K259" s="527"/>
      <c r="L259" s="527"/>
      <c r="M259" s="527"/>
      <c r="N259" s="527"/>
      <c r="O259" s="527"/>
      <c r="P259" s="527"/>
      <c r="Q259" s="527"/>
      <c r="R259" s="527"/>
      <c r="S259" s="527"/>
      <c r="T259" s="527"/>
      <c r="U259" s="527"/>
      <c r="V259" s="527"/>
      <c r="W259" s="527"/>
      <c r="X259" s="527"/>
      <c r="Y259" s="528"/>
      <c r="Z259" s="524"/>
      <c r="AA259" s="525"/>
      <c r="AB259" s="525"/>
      <c r="AC259" s="525"/>
      <c r="AD259" s="525"/>
      <c r="AE259" s="526" t="str">
        <f>IF(Z260="","",LOOKUP(Z260,KanckRef!$A$2:$A$170,KanckRef!$E$2:$E$170))</f>
        <v/>
      </c>
      <c r="AF259" s="526"/>
      <c r="AG259" s="527"/>
      <c r="AH259" s="527"/>
      <c r="AI259" s="527"/>
      <c r="AJ259" s="527"/>
      <c r="AK259" s="527"/>
      <c r="AL259" s="527"/>
      <c r="AM259" s="527"/>
      <c r="AN259" s="527"/>
      <c r="AO259" s="527"/>
      <c r="AP259" s="527"/>
      <c r="AQ259" s="527"/>
      <c r="AR259" s="527"/>
      <c r="AS259" s="527"/>
      <c r="AT259" s="527"/>
      <c r="AU259" s="527"/>
      <c r="AV259" s="527"/>
      <c r="AW259" s="527"/>
      <c r="AX259" s="528"/>
    </row>
    <row r="260" spans="1:50" ht="15" customHeight="1" x14ac:dyDescent="0.25">
      <c r="A260" s="533"/>
      <c r="B260" s="534"/>
      <c r="C260" s="534"/>
      <c r="D260" s="534"/>
      <c r="E260" s="534"/>
      <c r="F260" s="534"/>
      <c r="G260" s="534"/>
      <c r="H260" s="535" t="str">
        <f>IF(A260="","",LOOKUP(A260,BoonRef!$A$2:$A$430,BoonRef!$P$2:$P$430))</f>
        <v/>
      </c>
      <c r="I260" s="535"/>
      <c r="J260" s="529"/>
      <c r="K260" s="529"/>
      <c r="L260" s="529"/>
      <c r="M260" s="529"/>
      <c r="N260" s="529"/>
      <c r="O260" s="529"/>
      <c r="P260" s="529"/>
      <c r="Q260" s="529"/>
      <c r="R260" s="529"/>
      <c r="S260" s="529"/>
      <c r="T260" s="529"/>
      <c r="U260" s="529"/>
      <c r="V260" s="529"/>
      <c r="W260" s="529"/>
      <c r="X260" s="529"/>
      <c r="Y260" s="530"/>
      <c r="Z260" s="533"/>
      <c r="AA260" s="534"/>
      <c r="AB260" s="534"/>
      <c r="AC260" s="534"/>
      <c r="AD260" s="534"/>
      <c r="AE260" s="535" t="str">
        <f>IF(Z260="","",LOOKUP(Z260,KanckRef!$A$2:$A$170,KanckRef!$F$2:$F$170))</f>
        <v/>
      </c>
      <c r="AF260" s="535"/>
      <c r="AG260" s="529"/>
      <c r="AH260" s="529"/>
      <c r="AI260" s="529"/>
      <c r="AJ260" s="529"/>
      <c r="AK260" s="529"/>
      <c r="AL260" s="529"/>
      <c r="AM260" s="529"/>
      <c r="AN260" s="529"/>
      <c r="AO260" s="529"/>
      <c r="AP260" s="529"/>
      <c r="AQ260" s="529"/>
      <c r="AR260" s="529"/>
      <c r="AS260" s="529"/>
      <c r="AT260" s="529"/>
      <c r="AU260" s="529"/>
      <c r="AV260" s="529"/>
      <c r="AW260" s="529"/>
      <c r="AX260" s="530"/>
    </row>
    <row r="261" spans="1:50" ht="15" customHeight="1" x14ac:dyDescent="0.25">
      <c r="A261" s="533"/>
      <c r="B261" s="534"/>
      <c r="C261" s="534"/>
      <c r="D261" s="534"/>
      <c r="E261" s="534"/>
      <c r="F261" s="534"/>
      <c r="G261" s="534"/>
      <c r="H261" s="535" t="str">
        <f>IF(A260="","",LOOKUP(A260,BoonRef!$A$2:$A$430,BoonRef!$Q$2:$Q$430))</f>
        <v/>
      </c>
      <c r="I261" s="535"/>
      <c r="J261" s="529"/>
      <c r="K261" s="529"/>
      <c r="L261" s="529"/>
      <c r="M261" s="529"/>
      <c r="N261" s="529"/>
      <c r="O261" s="529"/>
      <c r="P261" s="529"/>
      <c r="Q261" s="529"/>
      <c r="R261" s="529"/>
      <c r="S261" s="529"/>
      <c r="T261" s="529"/>
      <c r="U261" s="529"/>
      <c r="V261" s="529"/>
      <c r="W261" s="529"/>
      <c r="X261" s="529"/>
      <c r="Y261" s="530"/>
      <c r="Z261" s="533"/>
      <c r="AA261" s="534"/>
      <c r="AB261" s="534"/>
      <c r="AC261" s="534"/>
      <c r="AD261" s="534"/>
      <c r="AE261" s="535"/>
      <c r="AF261" s="535"/>
      <c r="AG261" s="529"/>
      <c r="AH261" s="529"/>
      <c r="AI261" s="529"/>
      <c r="AJ261" s="529"/>
      <c r="AK261" s="529"/>
      <c r="AL261" s="529"/>
      <c r="AM261" s="529"/>
      <c r="AN261" s="529"/>
      <c r="AO261" s="529"/>
      <c r="AP261" s="529"/>
      <c r="AQ261" s="529"/>
      <c r="AR261" s="529"/>
      <c r="AS261" s="529"/>
      <c r="AT261" s="529"/>
      <c r="AU261" s="529"/>
      <c r="AV261" s="529"/>
      <c r="AW261" s="529"/>
      <c r="AX261" s="530"/>
    </row>
    <row r="262" spans="1:50" x14ac:dyDescent="0.25">
      <c r="A262" s="536" t="str">
        <f>IF(A260="","",LOOKUP(A260,BoonRef!$A$2:$A$430,BoonRef!$O$2:$O$430))</f>
        <v/>
      </c>
      <c r="B262" s="535"/>
      <c r="C262" s="535"/>
      <c r="D262" s="535"/>
      <c r="E262" s="535"/>
      <c r="F262" s="535"/>
      <c r="G262" s="535"/>
      <c r="H262" s="535"/>
      <c r="I262" s="535"/>
      <c r="J262" s="529"/>
      <c r="K262" s="529"/>
      <c r="L262" s="529"/>
      <c r="M262" s="529"/>
      <c r="N262" s="529"/>
      <c r="O262" s="529"/>
      <c r="P262" s="529"/>
      <c r="Q262" s="529"/>
      <c r="R262" s="529"/>
      <c r="S262" s="529"/>
      <c r="T262" s="529"/>
      <c r="U262" s="529"/>
      <c r="V262" s="529"/>
      <c r="W262" s="529"/>
      <c r="X262" s="529"/>
      <c r="Y262" s="530"/>
      <c r="Z262" s="536" t="str">
        <f>IF(Z260="","",LOOKUP(Z260,KanckRef!$A$2:$A$170,KanckRef!$D$2:$D$170))</f>
        <v/>
      </c>
      <c r="AA262" s="535"/>
      <c r="AB262" s="535"/>
      <c r="AC262" s="535"/>
      <c r="AD262" s="535"/>
      <c r="AE262" s="535"/>
      <c r="AF262" s="535"/>
      <c r="AG262" s="529"/>
      <c r="AH262" s="529"/>
      <c r="AI262" s="529"/>
      <c r="AJ262" s="529"/>
      <c r="AK262" s="529"/>
      <c r="AL262" s="529"/>
      <c r="AM262" s="529"/>
      <c r="AN262" s="529"/>
      <c r="AO262" s="529"/>
      <c r="AP262" s="529"/>
      <c r="AQ262" s="529"/>
      <c r="AR262" s="529"/>
      <c r="AS262" s="529"/>
      <c r="AT262" s="529"/>
      <c r="AU262" s="529"/>
      <c r="AV262" s="529"/>
      <c r="AW262" s="529"/>
      <c r="AX262" s="530"/>
    </row>
    <row r="263" spans="1:50" x14ac:dyDescent="0.25">
      <c r="A263" s="536" t="str">
        <f>IF(A260="","",LOOKUP(A260,BoonRef!$A$2:$A$430,BoonRef!$N$2:$N$430))</f>
        <v/>
      </c>
      <c r="B263" s="535"/>
      <c r="C263" s="535"/>
      <c r="D263" s="535"/>
      <c r="E263" s="535"/>
      <c r="F263" s="535"/>
      <c r="G263" s="535"/>
      <c r="H263" s="535"/>
      <c r="I263" s="535"/>
      <c r="J263" s="529"/>
      <c r="K263" s="529"/>
      <c r="L263" s="529"/>
      <c r="M263" s="529"/>
      <c r="N263" s="529"/>
      <c r="O263" s="529"/>
      <c r="P263" s="529"/>
      <c r="Q263" s="529"/>
      <c r="R263" s="529"/>
      <c r="S263" s="529"/>
      <c r="T263" s="529"/>
      <c r="U263" s="529"/>
      <c r="V263" s="529"/>
      <c r="W263" s="529"/>
      <c r="X263" s="529"/>
      <c r="Y263" s="530"/>
      <c r="Z263" s="536"/>
      <c r="AA263" s="535"/>
      <c r="AB263" s="535"/>
      <c r="AC263" s="535"/>
      <c r="AD263" s="535"/>
      <c r="AE263" s="535"/>
      <c r="AF263" s="535"/>
      <c r="AG263" s="529"/>
      <c r="AH263" s="529"/>
      <c r="AI263" s="529"/>
      <c r="AJ263" s="529"/>
      <c r="AK263" s="529"/>
      <c r="AL263" s="529"/>
      <c r="AM263" s="529"/>
      <c r="AN263" s="529"/>
      <c r="AO263" s="529"/>
      <c r="AP263" s="529"/>
      <c r="AQ263" s="529"/>
      <c r="AR263" s="529"/>
      <c r="AS263" s="529"/>
      <c r="AT263" s="529"/>
      <c r="AU263" s="529"/>
      <c r="AV263" s="529"/>
      <c r="AW263" s="529"/>
      <c r="AX263" s="530"/>
    </row>
    <row r="264" spans="1:50" ht="15.75" thickBot="1" x14ac:dyDescent="0.3">
      <c r="A264" s="537"/>
      <c r="B264" s="538"/>
      <c r="C264" s="538"/>
      <c r="D264" s="538"/>
      <c r="E264" s="538"/>
      <c r="F264" s="538"/>
      <c r="G264" s="538"/>
      <c r="H264" s="538"/>
      <c r="I264" s="538"/>
      <c r="J264" s="531"/>
      <c r="K264" s="531"/>
      <c r="L264" s="531"/>
      <c r="M264" s="531"/>
      <c r="N264" s="531"/>
      <c r="O264" s="531"/>
      <c r="P264" s="531"/>
      <c r="Q264" s="531"/>
      <c r="R264" s="531"/>
      <c r="S264" s="531"/>
      <c r="T264" s="531"/>
      <c r="U264" s="531"/>
      <c r="V264" s="531"/>
      <c r="W264" s="531"/>
      <c r="X264" s="531"/>
      <c r="Y264" s="532"/>
      <c r="Z264" s="537"/>
      <c r="AA264" s="538"/>
      <c r="AB264" s="538"/>
      <c r="AC264" s="538"/>
      <c r="AD264" s="538"/>
      <c r="AE264" s="538"/>
      <c r="AF264" s="538"/>
      <c r="AG264" s="531"/>
      <c r="AH264" s="531"/>
      <c r="AI264" s="531"/>
      <c r="AJ264" s="531"/>
      <c r="AK264" s="531"/>
      <c r="AL264" s="531"/>
      <c r="AM264" s="531"/>
      <c r="AN264" s="531"/>
      <c r="AO264" s="531"/>
      <c r="AP264" s="531"/>
      <c r="AQ264" s="531"/>
      <c r="AR264" s="531"/>
      <c r="AS264" s="531"/>
      <c r="AT264" s="531"/>
      <c r="AU264" s="531"/>
      <c r="AV264" s="531"/>
      <c r="AW264" s="531"/>
      <c r="AX264" s="532"/>
    </row>
    <row r="265" spans="1:50" ht="15" customHeight="1" x14ac:dyDescent="0.25">
      <c r="A265" s="524"/>
      <c r="B265" s="525"/>
      <c r="C265" s="525"/>
      <c r="D265" s="525"/>
      <c r="E265" s="525"/>
      <c r="F265" s="525"/>
      <c r="G265" s="525"/>
      <c r="H265" s="526" t="str">
        <f>IF(A266="","",LOOKUP(A266,BoonRef!$A$2:$A$430,BoonRef!$C$2:$C$430))</f>
        <v/>
      </c>
      <c r="I265" s="526"/>
      <c r="J265" s="527"/>
      <c r="K265" s="527"/>
      <c r="L265" s="527"/>
      <c r="M265" s="527"/>
      <c r="N265" s="527"/>
      <c r="O265" s="527"/>
      <c r="P265" s="527"/>
      <c r="Q265" s="527"/>
      <c r="R265" s="527"/>
      <c r="S265" s="527"/>
      <c r="T265" s="527"/>
      <c r="U265" s="527"/>
      <c r="V265" s="527"/>
      <c r="W265" s="527"/>
      <c r="X265" s="527"/>
      <c r="Y265" s="528"/>
      <c r="Z265" s="524"/>
      <c r="AA265" s="525"/>
      <c r="AB265" s="525"/>
      <c r="AC265" s="525"/>
      <c r="AD265" s="525"/>
      <c r="AE265" s="526" t="str">
        <f>IF(Z266="","",LOOKUP(Z266,KanckRef!$A$2:$A$170,KanckRef!$E$2:$E$170))</f>
        <v/>
      </c>
      <c r="AF265" s="526"/>
      <c r="AG265" s="527"/>
      <c r="AH265" s="527"/>
      <c r="AI265" s="527"/>
      <c r="AJ265" s="527"/>
      <c r="AK265" s="527"/>
      <c r="AL265" s="527"/>
      <c r="AM265" s="527"/>
      <c r="AN265" s="527"/>
      <c r="AO265" s="527"/>
      <c r="AP265" s="527"/>
      <c r="AQ265" s="527"/>
      <c r="AR265" s="527"/>
      <c r="AS265" s="527"/>
      <c r="AT265" s="527"/>
      <c r="AU265" s="527"/>
      <c r="AV265" s="527"/>
      <c r="AW265" s="527"/>
      <c r="AX265" s="528"/>
    </row>
    <row r="266" spans="1:50" ht="15" customHeight="1" x14ac:dyDescent="0.25">
      <c r="A266" s="533"/>
      <c r="B266" s="534"/>
      <c r="C266" s="534"/>
      <c r="D266" s="534"/>
      <c r="E266" s="534"/>
      <c r="F266" s="534"/>
      <c r="G266" s="534"/>
      <c r="H266" s="535" t="str">
        <f>IF(A266="","",LOOKUP(A266,BoonRef!$A$2:$A$430,BoonRef!$P$2:$P$430))</f>
        <v/>
      </c>
      <c r="I266" s="535"/>
      <c r="J266" s="529"/>
      <c r="K266" s="529"/>
      <c r="L266" s="529"/>
      <c r="M266" s="529"/>
      <c r="N266" s="529"/>
      <c r="O266" s="529"/>
      <c r="P266" s="529"/>
      <c r="Q266" s="529"/>
      <c r="R266" s="529"/>
      <c r="S266" s="529"/>
      <c r="T266" s="529"/>
      <c r="U266" s="529"/>
      <c r="V266" s="529"/>
      <c r="W266" s="529"/>
      <c r="X266" s="529"/>
      <c r="Y266" s="530"/>
      <c r="Z266" s="533"/>
      <c r="AA266" s="534"/>
      <c r="AB266" s="534"/>
      <c r="AC266" s="534"/>
      <c r="AD266" s="534"/>
      <c r="AE266" s="535" t="str">
        <f>IF(Z266="","",LOOKUP(Z266,KanckRef!$A$2:$A$170,KanckRef!$F$2:$F$170))</f>
        <v/>
      </c>
      <c r="AF266" s="535"/>
      <c r="AG266" s="529"/>
      <c r="AH266" s="529"/>
      <c r="AI266" s="529"/>
      <c r="AJ266" s="529"/>
      <c r="AK266" s="529"/>
      <c r="AL266" s="529"/>
      <c r="AM266" s="529"/>
      <c r="AN266" s="529"/>
      <c r="AO266" s="529"/>
      <c r="AP266" s="529"/>
      <c r="AQ266" s="529"/>
      <c r="AR266" s="529"/>
      <c r="AS266" s="529"/>
      <c r="AT266" s="529"/>
      <c r="AU266" s="529"/>
      <c r="AV266" s="529"/>
      <c r="AW266" s="529"/>
      <c r="AX266" s="530"/>
    </row>
    <row r="267" spans="1:50" x14ac:dyDescent="0.25">
      <c r="A267" s="533"/>
      <c r="B267" s="534"/>
      <c r="C267" s="534"/>
      <c r="D267" s="534"/>
      <c r="E267" s="534"/>
      <c r="F267" s="534"/>
      <c r="G267" s="534"/>
      <c r="H267" s="535" t="str">
        <f>IF(A266="","",LOOKUP(A266,BoonRef!$A$2:$A$430,BoonRef!$Q$2:$Q$430))</f>
        <v/>
      </c>
      <c r="I267" s="535"/>
      <c r="J267" s="529"/>
      <c r="K267" s="529"/>
      <c r="L267" s="529"/>
      <c r="M267" s="529"/>
      <c r="N267" s="529"/>
      <c r="O267" s="529"/>
      <c r="P267" s="529"/>
      <c r="Q267" s="529"/>
      <c r="R267" s="529"/>
      <c r="S267" s="529"/>
      <c r="T267" s="529"/>
      <c r="U267" s="529"/>
      <c r="V267" s="529"/>
      <c r="W267" s="529"/>
      <c r="X267" s="529"/>
      <c r="Y267" s="530"/>
      <c r="Z267" s="533"/>
      <c r="AA267" s="534"/>
      <c r="AB267" s="534"/>
      <c r="AC267" s="534"/>
      <c r="AD267" s="534"/>
      <c r="AE267" s="535"/>
      <c r="AF267" s="535"/>
      <c r="AG267" s="529"/>
      <c r="AH267" s="529"/>
      <c r="AI267" s="529"/>
      <c r="AJ267" s="529"/>
      <c r="AK267" s="529"/>
      <c r="AL267" s="529"/>
      <c r="AM267" s="529"/>
      <c r="AN267" s="529"/>
      <c r="AO267" s="529"/>
      <c r="AP267" s="529"/>
      <c r="AQ267" s="529"/>
      <c r="AR267" s="529"/>
      <c r="AS267" s="529"/>
      <c r="AT267" s="529"/>
      <c r="AU267" s="529"/>
      <c r="AV267" s="529"/>
      <c r="AW267" s="529"/>
      <c r="AX267" s="530"/>
    </row>
    <row r="268" spans="1:50" x14ac:dyDescent="0.25">
      <c r="A268" s="536" t="str">
        <f>IF(A266="","",LOOKUP(A266,BoonRef!$A$2:$A$430,BoonRef!$O$2:$O$430))</f>
        <v/>
      </c>
      <c r="B268" s="535"/>
      <c r="C268" s="535"/>
      <c r="D268" s="535"/>
      <c r="E268" s="535"/>
      <c r="F268" s="535"/>
      <c r="G268" s="535"/>
      <c r="H268" s="535"/>
      <c r="I268" s="535"/>
      <c r="J268" s="529"/>
      <c r="K268" s="529"/>
      <c r="L268" s="529"/>
      <c r="M268" s="529"/>
      <c r="N268" s="529"/>
      <c r="O268" s="529"/>
      <c r="P268" s="529"/>
      <c r="Q268" s="529"/>
      <c r="R268" s="529"/>
      <c r="S268" s="529"/>
      <c r="T268" s="529"/>
      <c r="U268" s="529"/>
      <c r="V268" s="529"/>
      <c r="W268" s="529"/>
      <c r="X268" s="529"/>
      <c r="Y268" s="530"/>
      <c r="Z268" s="536" t="str">
        <f>IF(Z266="","",LOOKUP(Z266,KanckRef!$A$2:$A$170,KanckRef!$D$2:$D$170))</f>
        <v/>
      </c>
      <c r="AA268" s="535"/>
      <c r="AB268" s="535"/>
      <c r="AC268" s="535"/>
      <c r="AD268" s="535"/>
      <c r="AE268" s="535"/>
      <c r="AF268" s="535"/>
      <c r="AG268" s="529"/>
      <c r="AH268" s="529"/>
      <c r="AI268" s="529"/>
      <c r="AJ268" s="529"/>
      <c r="AK268" s="529"/>
      <c r="AL268" s="529"/>
      <c r="AM268" s="529"/>
      <c r="AN268" s="529"/>
      <c r="AO268" s="529"/>
      <c r="AP268" s="529"/>
      <c r="AQ268" s="529"/>
      <c r="AR268" s="529"/>
      <c r="AS268" s="529"/>
      <c r="AT268" s="529"/>
      <c r="AU268" s="529"/>
      <c r="AV268" s="529"/>
      <c r="AW268" s="529"/>
      <c r="AX268" s="530"/>
    </row>
    <row r="269" spans="1:50" x14ac:dyDescent="0.25">
      <c r="A269" s="536" t="str">
        <f>IF(A266="","",LOOKUP(A266,BoonRef!$A$2:$A$430,BoonRef!$N$2:$N$430))</f>
        <v/>
      </c>
      <c r="B269" s="535"/>
      <c r="C269" s="535"/>
      <c r="D269" s="535"/>
      <c r="E269" s="535"/>
      <c r="F269" s="535"/>
      <c r="G269" s="535"/>
      <c r="H269" s="535"/>
      <c r="I269" s="535"/>
      <c r="J269" s="529"/>
      <c r="K269" s="529"/>
      <c r="L269" s="529"/>
      <c r="M269" s="529"/>
      <c r="N269" s="529"/>
      <c r="O269" s="529"/>
      <c r="P269" s="529"/>
      <c r="Q269" s="529"/>
      <c r="R269" s="529"/>
      <c r="S269" s="529"/>
      <c r="T269" s="529"/>
      <c r="U269" s="529"/>
      <c r="V269" s="529"/>
      <c r="W269" s="529"/>
      <c r="X269" s="529"/>
      <c r="Y269" s="530"/>
      <c r="Z269" s="536"/>
      <c r="AA269" s="535"/>
      <c r="AB269" s="535"/>
      <c r="AC269" s="535"/>
      <c r="AD269" s="535"/>
      <c r="AE269" s="535"/>
      <c r="AF269" s="535"/>
      <c r="AG269" s="529"/>
      <c r="AH269" s="529"/>
      <c r="AI269" s="529"/>
      <c r="AJ269" s="529"/>
      <c r="AK269" s="529"/>
      <c r="AL269" s="529"/>
      <c r="AM269" s="529"/>
      <c r="AN269" s="529"/>
      <c r="AO269" s="529"/>
      <c r="AP269" s="529"/>
      <c r="AQ269" s="529"/>
      <c r="AR269" s="529"/>
      <c r="AS269" s="529"/>
      <c r="AT269" s="529"/>
      <c r="AU269" s="529"/>
      <c r="AV269" s="529"/>
      <c r="AW269" s="529"/>
      <c r="AX269" s="530"/>
    </row>
    <row r="270" spans="1:50" ht="15" customHeight="1" thickBot="1" x14ac:dyDescent="0.3">
      <c r="A270" s="537"/>
      <c r="B270" s="538"/>
      <c r="C270" s="538"/>
      <c r="D270" s="538"/>
      <c r="E270" s="538"/>
      <c r="F270" s="538"/>
      <c r="G270" s="538"/>
      <c r="H270" s="538"/>
      <c r="I270" s="538"/>
      <c r="J270" s="531"/>
      <c r="K270" s="531"/>
      <c r="L270" s="531"/>
      <c r="M270" s="531"/>
      <c r="N270" s="531"/>
      <c r="O270" s="531"/>
      <c r="P270" s="531"/>
      <c r="Q270" s="531"/>
      <c r="R270" s="531"/>
      <c r="S270" s="531"/>
      <c r="T270" s="531"/>
      <c r="U270" s="531"/>
      <c r="V270" s="531"/>
      <c r="W270" s="531"/>
      <c r="X270" s="531"/>
      <c r="Y270" s="532"/>
      <c r="Z270" s="537"/>
      <c r="AA270" s="538"/>
      <c r="AB270" s="538"/>
      <c r="AC270" s="538"/>
      <c r="AD270" s="538"/>
      <c r="AE270" s="538"/>
      <c r="AF270" s="538"/>
      <c r="AG270" s="531"/>
      <c r="AH270" s="531"/>
      <c r="AI270" s="531"/>
      <c r="AJ270" s="531"/>
      <c r="AK270" s="531"/>
      <c r="AL270" s="531"/>
      <c r="AM270" s="531"/>
      <c r="AN270" s="531"/>
      <c r="AO270" s="531"/>
      <c r="AP270" s="531"/>
      <c r="AQ270" s="531"/>
      <c r="AR270" s="531"/>
      <c r="AS270" s="531"/>
      <c r="AT270" s="531"/>
      <c r="AU270" s="531"/>
      <c r="AV270" s="531"/>
      <c r="AW270" s="531"/>
      <c r="AX270" s="532"/>
    </row>
    <row r="271" spans="1:50" ht="15" customHeight="1" x14ac:dyDescent="0.25">
      <c r="A271" s="524"/>
      <c r="B271" s="525"/>
      <c r="C271" s="525"/>
      <c r="D271" s="525"/>
      <c r="E271" s="525"/>
      <c r="F271" s="525"/>
      <c r="G271" s="525"/>
      <c r="H271" s="526" t="str">
        <f>IF(A272="","",LOOKUP(A272,BoonRef!$A$2:$A$430,BoonRef!$C$2:$C$430))</f>
        <v/>
      </c>
      <c r="I271" s="526"/>
      <c r="J271" s="527"/>
      <c r="K271" s="527"/>
      <c r="L271" s="527"/>
      <c r="M271" s="527"/>
      <c r="N271" s="527"/>
      <c r="O271" s="527"/>
      <c r="P271" s="527"/>
      <c r="Q271" s="527"/>
      <c r="R271" s="527"/>
      <c r="S271" s="527"/>
      <c r="T271" s="527"/>
      <c r="U271" s="527"/>
      <c r="V271" s="527"/>
      <c r="W271" s="527"/>
      <c r="X271" s="527"/>
      <c r="Y271" s="528"/>
      <c r="Z271" s="524"/>
      <c r="AA271" s="525"/>
      <c r="AB271" s="525"/>
      <c r="AC271" s="525"/>
      <c r="AD271" s="525"/>
      <c r="AE271" s="526" t="str">
        <f>IF(Z272="","",LOOKUP(Z272,KanckRef!$A$2:$A$170,KanckRef!$E$2:$E$170))</f>
        <v/>
      </c>
      <c r="AF271" s="526"/>
      <c r="AG271" s="527"/>
      <c r="AH271" s="527"/>
      <c r="AI271" s="527"/>
      <c r="AJ271" s="527"/>
      <c r="AK271" s="527"/>
      <c r="AL271" s="527"/>
      <c r="AM271" s="527"/>
      <c r="AN271" s="527"/>
      <c r="AO271" s="527"/>
      <c r="AP271" s="527"/>
      <c r="AQ271" s="527"/>
      <c r="AR271" s="527"/>
      <c r="AS271" s="527"/>
      <c r="AT271" s="527"/>
      <c r="AU271" s="527"/>
      <c r="AV271" s="527"/>
      <c r="AW271" s="527"/>
      <c r="AX271" s="528"/>
    </row>
    <row r="272" spans="1:50" x14ac:dyDescent="0.25">
      <c r="A272" s="533"/>
      <c r="B272" s="534"/>
      <c r="C272" s="534"/>
      <c r="D272" s="534"/>
      <c r="E272" s="534"/>
      <c r="F272" s="534"/>
      <c r="G272" s="534"/>
      <c r="H272" s="535" t="str">
        <f>IF(A272="","",LOOKUP(A272,BoonRef!$A$2:$A$430,BoonRef!$P$2:$P$430))</f>
        <v/>
      </c>
      <c r="I272" s="535"/>
      <c r="J272" s="529"/>
      <c r="K272" s="529"/>
      <c r="L272" s="529"/>
      <c r="M272" s="529"/>
      <c r="N272" s="529"/>
      <c r="O272" s="529"/>
      <c r="P272" s="529"/>
      <c r="Q272" s="529"/>
      <c r="R272" s="529"/>
      <c r="S272" s="529"/>
      <c r="T272" s="529"/>
      <c r="U272" s="529"/>
      <c r="V272" s="529"/>
      <c r="W272" s="529"/>
      <c r="X272" s="529"/>
      <c r="Y272" s="530"/>
      <c r="Z272" s="533"/>
      <c r="AA272" s="534"/>
      <c r="AB272" s="534"/>
      <c r="AC272" s="534"/>
      <c r="AD272" s="534"/>
      <c r="AE272" s="535" t="str">
        <f>IF(Z272="","",LOOKUP(Z272,KanckRef!$A$2:$A$170,KanckRef!$F$2:$F$170))</f>
        <v/>
      </c>
      <c r="AF272" s="535"/>
      <c r="AG272" s="529"/>
      <c r="AH272" s="529"/>
      <c r="AI272" s="529"/>
      <c r="AJ272" s="529"/>
      <c r="AK272" s="529"/>
      <c r="AL272" s="529"/>
      <c r="AM272" s="529"/>
      <c r="AN272" s="529"/>
      <c r="AO272" s="529"/>
      <c r="AP272" s="529"/>
      <c r="AQ272" s="529"/>
      <c r="AR272" s="529"/>
      <c r="AS272" s="529"/>
      <c r="AT272" s="529"/>
      <c r="AU272" s="529"/>
      <c r="AV272" s="529"/>
      <c r="AW272" s="529"/>
      <c r="AX272" s="530"/>
    </row>
    <row r="273" spans="1:50" x14ac:dyDescent="0.25">
      <c r="A273" s="533"/>
      <c r="B273" s="534"/>
      <c r="C273" s="534"/>
      <c r="D273" s="534"/>
      <c r="E273" s="534"/>
      <c r="F273" s="534"/>
      <c r="G273" s="534"/>
      <c r="H273" s="535" t="str">
        <f>IF(A272="","",LOOKUP(A272,BoonRef!$A$2:$A$430,BoonRef!$Q$2:$Q$430))</f>
        <v/>
      </c>
      <c r="I273" s="535"/>
      <c r="J273" s="529"/>
      <c r="K273" s="529"/>
      <c r="L273" s="529"/>
      <c r="M273" s="529"/>
      <c r="N273" s="529"/>
      <c r="O273" s="529"/>
      <c r="P273" s="529"/>
      <c r="Q273" s="529"/>
      <c r="R273" s="529"/>
      <c r="S273" s="529"/>
      <c r="T273" s="529"/>
      <c r="U273" s="529"/>
      <c r="V273" s="529"/>
      <c r="W273" s="529"/>
      <c r="X273" s="529"/>
      <c r="Y273" s="530"/>
      <c r="Z273" s="533"/>
      <c r="AA273" s="534"/>
      <c r="AB273" s="534"/>
      <c r="AC273" s="534"/>
      <c r="AD273" s="534"/>
      <c r="AE273" s="535"/>
      <c r="AF273" s="535"/>
      <c r="AG273" s="529"/>
      <c r="AH273" s="529"/>
      <c r="AI273" s="529"/>
      <c r="AJ273" s="529"/>
      <c r="AK273" s="529"/>
      <c r="AL273" s="529"/>
      <c r="AM273" s="529"/>
      <c r="AN273" s="529"/>
      <c r="AO273" s="529"/>
      <c r="AP273" s="529"/>
      <c r="AQ273" s="529"/>
      <c r="AR273" s="529"/>
      <c r="AS273" s="529"/>
      <c r="AT273" s="529"/>
      <c r="AU273" s="529"/>
      <c r="AV273" s="529"/>
      <c r="AW273" s="529"/>
      <c r="AX273" s="530"/>
    </row>
    <row r="274" spans="1:50" x14ac:dyDescent="0.25">
      <c r="A274" s="536" t="str">
        <f>IF(A272="","",LOOKUP(A272,BoonRef!$A$2:$A$430,BoonRef!$O$2:$O$430))</f>
        <v/>
      </c>
      <c r="B274" s="535"/>
      <c r="C274" s="535"/>
      <c r="D274" s="535"/>
      <c r="E274" s="535"/>
      <c r="F274" s="535"/>
      <c r="G274" s="535"/>
      <c r="H274" s="535"/>
      <c r="I274" s="535"/>
      <c r="J274" s="529"/>
      <c r="K274" s="529"/>
      <c r="L274" s="529"/>
      <c r="M274" s="529"/>
      <c r="N274" s="529"/>
      <c r="O274" s="529"/>
      <c r="P274" s="529"/>
      <c r="Q274" s="529"/>
      <c r="R274" s="529"/>
      <c r="S274" s="529"/>
      <c r="T274" s="529"/>
      <c r="U274" s="529"/>
      <c r="V274" s="529"/>
      <c r="W274" s="529"/>
      <c r="X274" s="529"/>
      <c r="Y274" s="530"/>
      <c r="Z274" s="536" t="str">
        <f>IF(Z272="","",LOOKUP(Z272,KanckRef!$A$2:$A$170,KanckRef!$D$2:$D$170))</f>
        <v/>
      </c>
      <c r="AA274" s="535"/>
      <c r="AB274" s="535"/>
      <c r="AC274" s="535"/>
      <c r="AD274" s="535"/>
      <c r="AE274" s="535"/>
      <c r="AF274" s="535"/>
      <c r="AG274" s="529"/>
      <c r="AH274" s="529"/>
      <c r="AI274" s="529"/>
      <c r="AJ274" s="529"/>
      <c r="AK274" s="529"/>
      <c r="AL274" s="529"/>
      <c r="AM274" s="529"/>
      <c r="AN274" s="529"/>
      <c r="AO274" s="529"/>
      <c r="AP274" s="529"/>
      <c r="AQ274" s="529"/>
      <c r="AR274" s="529"/>
      <c r="AS274" s="529"/>
      <c r="AT274" s="529"/>
      <c r="AU274" s="529"/>
      <c r="AV274" s="529"/>
      <c r="AW274" s="529"/>
      <c r="AX274" s="530"/>
    </row>
    <row r="275" spans="1:50" ht="15" customHeight="1" x14ac:dyDescent="0.25">
      <c r="A275" s="536" t="str">
        <f>IF(A272="","",LOOKUP(A272,BoonRef!$A$2:$A$430,BoonRef!$N$2:$N$430))</f>
        <v/>
      </c>
      <c r="B275" s="535"/>
      <c r="C275" s="535"/>
      <c r="D275" s="535"/>
      <c r="E275" s="535"/>
      <c r="F275" s="535"/>
      <c r="G275" s="535"/>
      <c r="H275" s="535"/>
      <c r="I275" s="535"/>
      <c r="J275" s="529"/>
      <c r="K275" s="529"/>
      <c r="L275" s="529"/>
      <c r="M275" s="529"/>
      <c r="N275" s="529"/>
      <c r="O275" s="529"/>
      <c r="P275" s="529"/>
      <c r="Q275" s="529"/>
      <c r="R275" s="529"/>
      <c r="S275" s="529"/>
      <c r="T275" s="529"/>
      <c r="U275" s="529"/>
      <c r="V275" s="529"/>
      <c r="W275" s="529"/>
      <c r="X275" s="529"/>
      <c r="Y275" s="530"/>
      <c r="Z275" s="536"/>
      <c r="AA275" s="535"/>
      <c r="AB275" s="535"/>
      <c r="AC275" s="535"/>
      <c r="AD275" s="535"/>
      <c r="AE275" s="535"/>
      <c r="AF275" s="535"/>
      <c r="AG275" s="529"/>
      <c r="AH275" s="529"/>
      <c r="AI275" s="529"/>
      <c r="AJ275" s="529"/>
      <c r="AK275" s="529"/>
      <c r="AL275" s="529"/>
      <c r="AM275" s="529"/>
      <c r="AN275" s="529"/>
      <c r="AO275" s="529"/>
      <c r="AP275" s="529"/>
      <c r="AQ275" s="529"/>
      <c r="AR275" s="529"/>
      <c r="AS275" s="529"/>
      <c r="AT275" s="529"/>
      <c r="AU275" s="529"/>
      <c r="AV275" s="529"/>
      <c r="AW275" s="529"/>
      <c r="AX275" s="530"/>
    </row>
    <row r="276" spans="1:50" ht="15" customHeight="1" thickBot="1" x14ac:dyDescent="0.3">
      <c r="A276" s="537"/>
      <c r="B276" s="538"/>
      <c r="C276" s="538"/>
      <c r="D276" s="538"/>
      <c r="E276" s="538"/>
      <c r="F276" s="538"/>
      <c r="G276" s="538"/>
      <c r="H276" s="538"/>
      <c r="I276" s="538"/>
      <c r="J276" s="531"/>
      <c r="K276" s="531"/>
      <c r="L276" s="531"/>
      <c r="M276" s="531"/>
      <c r="N276" s="531"/>
      <c r="O276" s="531"/>
      <c r="P276" s="531"/>
      <c r="Q276" s="531"/>
      <c r="R276" s="531"/>
      <c r="S276" s="531"/>
      <c r="T276" s="531"/>
      <c r="U276" s="531"/>
      <c r="V276" s="531"/>
      <c r="W276" s="531"/>
      <c r="X276" s="531"/>
      <c r="Y276" s="532"/>
      <c r="Z276" s="537"/>
      <c r="AA276" s="538"/>
      <c r="AB276" s="538"/>
      <c r="AC276" s="538"/>
      <c r="AD276" s="538"/>
      <c r="AE276" s="538"/>
      <c r="AF276" s="538"/>
      <c r="AG276" s="531"/>
      <c r="AH276" s="531"/>
      <c r="AI276" s="531"/>
      <c r="AJ276" s="531"/>
      <c r="AK276" s="531"/>
      <c r="AL276" s="531"/>
      <c r="AM276" s="531"/>
      <c r="AN276" s="531"/>
      <c r="AO276" s="531"/>
      <c r="AP276" s="531"/>
      <c r="AQ276" s="531"/>
      <c r="AR276" s="531"/>
      <c r="AS276" s="531"/>
      <c r="AT276" s="531"/>
      <c r="AU276" s="531"/>
      <c r="AV276" s="531"/>
      <c r="AW276" s="531"/>
      <c r="AX276" s="532"/>
    </row>
    <row r="277" spans="1:50" x14ac:dyDescent="0.25">
      <c r="A277" s="524"/>
      <c r="B277" s="525"/>
      <c r="C277" s="525"/>
      <c r="D277" s="525"/>
      <c r="E277" s="525"/>
      <c r="F277" s="525"/>
      <c r="G277" s="525"/>
      <c r="H277" s="526" t="str">
        <f>IF(A278="","",LOOKUP(A278,BoonRef!$A$2:$A$430,BoonRef!$C$2:$C$430))</f>
        <v/>
      </c>
      <c r="I277" s="526"/>
      <c r="J277" s="527"/>
      <c r="K277" s="527"/>
      <c r="L277" s="527"/>
      <c r="M277" s="527"/>
      <c r="N277" s="527"/>
      <c r="O277" s="527"/>
      <c r="P277" s="527"/>
      <c r="Q277" s="527"/>
      <c r="R277" s="527"/>
      <c r="S277" s="527"/>
      <c r="T277" s="527"/>
      <c r="U277" s="527"/>
      <c r="V277" s="527"/>
      <c r="W277" s="527"/>
      <c r="X277" s="527"/>
      <c r="Y277" s="528"/>
      <c r="Z277" s="524"/>
      <c r="AA277" s="525"/>
      <c r="AB277" s="525"/>
      <c r="AC277" s="525"/>
      <c r="AD277" s="525"/>
      <c r="AE277" s="526" t="str">
        <f>IF(Z278="","",LOOKUP(Z278,KanckRef!$A$2:$A$170,KanckRef!$E$2:$E$170))</f>
        <v/>
      </c>
      <c r="AF277" s="526"/>
      <c r="AG277" s="527"/>
      <c r="AH277" s="527"/>
      <c r="AI277" s="527"/>
      <c r="AJ277" s="527"/>
      <c r="AK277" s="527"/>
      <c r="AL277" s="527"/>
      <c r="AM277" s="527"/>
      <c r="AN277" s="527"/>
      <c r="AO277" s="527"/>
      <c r="AP277" s="527"/>
      <c r="AQ277" s="527"/>
      <c r="AR277" s="527"/>
      <c r="AS277" s="527"/>
      <c r="AT277" s="527"/>
      <c r="AU277" s="527"/>
      <c r="AV277" s="527"/>
      <c r="AW277" s="527"/>
      <c r="AX277" s="528"/>
    </row>
    <row r="278" spans="1:50" x14ac:dyDescent="0.25">
      <c r="A278" s="533"/>
      <c r="B278" s="534"/>
      <c r="C278" s="534"/>
      <c r="D278" s="534"/>
      <c r="E278" s="534"/>
      <c r="F278" s="534"/>
      <c r="G278" s="534"/>
      <c r="H278" s="535" t="str">
        <f>IF(A278="","",LOOKUP(A278,BoonRef!$A$2:$A$430,BoonRef!$P$2:$P$430))</f>
        <v/>
      </c>
      <c r="I278" s="535"/>
      <c r="J278" s="529"/>
      <c r="K278" s="529"/>
      <c r="L278" s="529"/>
      <c r="M278" s="529"/>
      <c r="N278" s="529"/>
      <c r="O278" s="529"/>
      <c r="P278" s="529"/>
      <c r="Q278" s="529"/>
      <c r="R278" s="529"/>
      <c r="S278" s="529"/>
      <c r="T278" s="529"/>
      <c r="U278" s="529"/>
      <c r="V278" s="529"/>
      <c r="W278" s="529"/>
      <c r="X278" s="529"/>
      <c r="Y278" s="530"/>
      <c r="Z278" s="533"/>
      <c r="AA278" s="534"/>
      <c r="AB278" s="534"/>
      <c r="AC278" s="534"/>
      <c r="AD278" s="534"/>
      <c r="AE278" s="535" t="str">
        <f>IF(Z278="","",LOOKUP(Z278,KanckRef!$A$2:$A$170,KanckRef!$F$2:$F$170))</f>
        <v/>
      </c>
      <c r="AF278" s="535"/>
      <c r="AG278" s="529"/>
      <c r="AH278" s="529"/>
      <c r="AI278" s="529"/>
      <c r="AJ278" s="529"/>
      <c r="AK278" s="529"/>
      <c r="AL278" s="529"/>
      <c r="AM278" s="529"/>
      <c r="AN278" s="529"/>
      <c r="AO278" s="529"/>
      <c r="AP278" s="529"/>
      <c r="AQ278" s="529"/>
      <c r="AR278" s="529"/>
      <c r="AS278" s="529"/>
      <c r="AT278" s="529"/>
      <c r="AU278" s="529"/>
      <c r="AV278" s="529"/>
      <c r="AW278" s="529"/>
      <c r="AX278" s="530"/>
    </row>
    <row r="279" spans="1:50" x14ac:dyDescent="0.25">
      <c r="A279" s="533"/>
      <c r="B279" s="534"/>
      <c r="C279" s="534"/>
      <c r="D279" s="534"/>
      <c r="E279" s="534"/>
      <c r="F279" s="534"/>
      <c r="G279" s="534"/>
      <c r="H279" s="535" t="str">
        <f>IF(A278="","",LOOKUP(A278,BoonRef!$A$2:$A$430,BoonRef!$Q$2:$Q$430))</f>
        <v/>
      </c>
      <c r="I279" s="535"/>
      <c r="J279" s="529"/>
      <c r="K279" s="529"/>
      <c r="L279" s="529"/>
      <c r="M279" s="529"/>
      <c r="N279" s="529"/>
      <c r="O279" s="529"/>
      <c r="P279" s="529"/>
      <c r="Q279" s="529"/>
      <c r="R279" s="529"/>
      <c r="S279" s="529"/>
      <c r="T279" s="529"/>
      <c r="U279" s="529"/>
      <c r="V279" s="529"/>
      <c r="W279" s="529"/>
      <c r="X279" s="529"/>
      <c r="Y279" s="530"/>
      <c r="Z279" s="533"/>
      <c r="AA279" s="534"/>
      <c r="AB279" s="534"/>
      <c r="AC279" s="534"/>
      <c r="AD279" s="534"/>
      <c r="AE279" s="535"/>
      <c r="AF279" s="535"/>
      <c r="AG279" s="529"/>
      <c r="AH279" s="529"/>
      <c r="AI279" s="529"/>
      <c r="AJ279" s="529"/>
      <c r="AK279" s="529"/>
      <c r="AL279" s="529"/>
      <c r="AM279" s="529"/>
      <c r="AN279" s="529"/>
      <c r="AO279" s="529"/>
      <c r="AP279" s="529"/>
      <c r="AQ279" s="529"/>
      <c r="AR279" s="529"/>
      <c r="AS279" s="529"/>
      <c r="AT279" s="529"/>
      <c r="AU279" s="529"/>
      <c r="AV279" s="529"/>
      <c r="AW279" s="529"/>
      <c r="AX279" s="530"/>
    </row>
    <row r="280" spans="1:50" ht="15" customHeight="1" x14ac:dyDescent="0.25">
      <c r="A280" s="536" t="str">
        <f>IF(A278="","",LOOKUP(A278,BoonRef!$A$2:$A$430,BoonRef!$O$2:$O$430))</f>
        <v/>
      </c>
      <c r="B280" s="535"/>
      <c r="C280" s="535"/>
      <c r="D280" s="535"/>
      <c r="E280" s="535"/>
      <c r="F280" s="535"/>
      <c r="G280" s="535"/>
      <c r="H280" s="535"/>
      <c r="I280" s="535"/>
      <c r="J280" s="529"/>
      <c r="K280" s="529"/>
      <c r="L280" s="529"/>
      <c r="M280" s="529"/>
      <c r="N280" s="529"/>
      <c r="O280" s="529"/>
      <c r="P280" s="529"/>
      <c r="Q280" s="529"/>
      <c r="R280" s="529"/>
      <c r="S280" s="529"/>
      <c r="T280" s="529"/>
      <c r="U280" s="529"/>
      <c r="V280" s="529"/>
      <c r="W280" s="529"/>
      <c r="X280" s="529"/>
      <c r="Y280" s="530"/>
      <c r="Z280" s="536" t="str">
        <f>IF(Z278="","",LOOKUP(Z278,KanckRef!$A$2:$A$170,KanckRef!$D$2:$D$170))</f>
        <v/>
      </c>
      <c r="AA280" s="535"/>
      <c r="AB280" s="535"/>
      <c r="AC280" s="535"/>
      <c r="AD280" s="535"/>
      <c r="AE280" s="535"/>
      <c r="AF280" s="535"/>
      <c r="AG280" s="529"/>
      <c r="AH280" s="529"/>
      <c r="AI280" s="529"/>
      <c r="AJ280" s="529"/>
      <c r="AK280" s="529"/>
      <c r="AL280" s="529"/>
      <c r="AM280" s="529"/>
      <c r="AN280" s="529"/>
      <c r="AO280" s="529"/>
      <c r="AP280" s="529"/>
      <c r="AQ280" s="529"/>
      <c r="AR280" s="529"/>
      <c r="AS280" s="529"/>
      <c r="AT280" s="529"/>
      <c r="AU280" s="529"/>
      <c r="AV280" s="529"/>
      <c r="AW280" s="529"/>
      <c r="AX280" s="530"/>
    </row>
    <row r="281" spans="1:50" ht="15" customHeight="1" x14ac:dyDescent="0.25">
      <c r="A281" s="536" t="str">
        <f>IF(A278="","",LOOKUP(A278,BoonRef!$A$2:$A$430,BoonRef!$N$2:$N$430))</f>
        <v/>
      </c>
      <c r="B281" s="535"/>
      <c r="C281" s="535"/>
      <c r="D281" s="535"/>
      <c r="E281" s="535"/>
      <c r="F281" s="535"/>
      <c r="G281" s="535"/>
      <c r="H281" s="535"/>
      <c r="I281" s="535"/>
      <c r="J281" s="529"/>
      <c r="K281" s="529"/>
      <c r="L281" s="529"/>
      <c r="M281" s="529"/>
      <c r="N281" s="529"/>
      <c r="O281" s="529"/>
      <c r="P281" s="529"/>
      <c r="Q281" s="529"/>
      <c r="R281" s="529"/>
      <c r="S281" s="529"/>
      <c r="T281" s="529"/>
      <c r="U281" s="529"/>
      <c r="V281" s="529"/>
      <c r="W281" s="529"/>
      <c r="X281" s="529"/>
      <c r="Y281" s="530"/>
      <c r="Z281" s="536"/>
      <c r="AA281" s="535"/>
      <c r="AB281" s="535"/>
      <c r="AC281" s="535"/>
      <c r="AD281" s="535"/>
      <c r="AE281" s="535"/>
      <c r="AF281" s="535"/>
      <c r="AG281" s="529"/>
      <c r="AH281" s="529"/>
      <c r="AI281" s="529"/>
      <c r="AJ281" s="529"/>
      <c r="AK281" s="529"/>
      <c r="AL281" s="529"/>
      <c r="AM281" s="529"/>
      <c r="AN281" s="529"/>
      <c r="AO281" s="529"/>
      <c r="AP281" s="529"/>
      <c r="AQ281" s="529"/>
      <c r="AR281" s="529"/>
      <c r="AS281" s="529"/>
      <c r="AT281" s="529"/>
      <c r="AU281" s="529"/>
      <c r="AV281" s="529"/>
      <c r="AW281" s="529"/>
      <c r="AX281" s="530"/>
    </row>
    <row r="282" spans="1:50" ht="15.75" thickBot="1" x14ac:dyDescent="0.3">
      <c r="A282" s="537"/>
      <c r="B282" s="538"/>
      <c r="C282" s="538"/>
      <c r="D282" s="538"/>
      <c r="E282" s="538"/>
      <c r="F282" s="538"/>
      <c r="G282" s="538"/>
      <c r="H282" s="538"/>
      <c r="I282" s="538"/>
      <c r="J282" s="531"/>
      <c r="K282" s="531"/>
      <c r="L282" s="531"/>
      <c r="M282" s="531"/>
      <c r="N282" s="531"/>
      <c r="O282" s="531"/>
      <c r="P282" s="531"/>
      <c r="Q282" s="531"/>
      <c r="R282" s="531"/>
      <c r="S282" s="531"/>
      <c r="T282" s="531"/>
      <c r="U282" s="531"/>
      <c r="V282" s="531"/>
      <c r="W282" s="531"/>
      <c r="X282" s="531"/>
      <c r="Y282" s="532"/>
      <c r="Z282" s="537"/>
      <c r="AA282" s="538"/>
      <c r="AB282" s="538"/>
      <c r="AC282" s="538"/>
      <c r="AD282" s="538"/>
      <c r="AE282" s="538"/>
      <c r="AF282" s="538"/>
      <c r="AG282" s="531"/>
      <c r="AH282" s="531"/>
      <c r="AI282" s="531"/>
      <c r="AJ282" s="531"/>
      <c r="AK282" s="531"/>
      <c r="AL282" s="531"/>
      <c r="AM282" s="531"/>
      <c r="AN282" s="531"/>
      <c r="AO282" s="531"/>
      <c r="AP282" s="531"/>
      <c r="AQ282" s="531"/>
      <c r="AR282" s="531"/>
      <c r="AS282" s="531"/>
      <c r="AT282" s="531"/>
      <c r="AU282" s="531"/>
      <c r="AV282" s="531"/>
      <c r="AW282" s="531"/>
      <c r="AX282" s="532"/>
    </row>
    <row r="283" spans="1:50" x14ac:dyDescent="0.25">
      <c r="A283" s="524"/>
      <c r="B283" s="525"/>
      <c r="C283" s="525"/>
      <c r="D283" s="525"/>
      <c r="E283" s="525"/>
      <c r="F283" s="525"/>
      <c r="G283" s="525"/>
      <c r="H283" s="526" t="str">
        <f>IF(A284="","",LOOKUP(A284,BoonRef!$A$2:$A$430,BoonRef!$C$2:$C$430))</f>
        <v/>
      </c>
      <c r="I283" s="526"/>
      <c r="J283" s="527"/>
      <c r="K283" s="527"/>
      <c r="L283" s="527"/>
      <c r="M283" s="527"/>
      <c r="N283" s="527"/>
      <c r="O283" s="527"/>
      <c r="P283" s="527"/>
      <c r="Q283" s="527"/>
      <c r="R283" s="527"/>
      <c r="S283" s="527"/>
      <c r="T283" s="527"/>
      <c r="U283" s="527"/>
      <c r="V283" s="527"/>
      <c r="W283" s="527"/>
      <c r="X283" s="527"/>
      <c r="Y283" s="528"/>
      <c r="Z283" s="524"/>
      <c r="AA283" s="525"/>
      <c r="AB283" s="525"/>
      <c r="AC283" s="525"/>
      <c r="AD283" s="525"/>
      <c r="AE283" s="526" t="str">
        <f>IF(Z284="","",LOOKUP(Z284,KanckRef!$A$2:$A$170,KanckRef!$E$2:$E$170))</f>
        <v/>
      </c>
      <c r="AF283" s="526"/>
      <c r="AG283" s="527"/>
      <c r="AH283" s="527"/>
      <c r="AI283" s="527"/>
      <c r="AJ283" s="527"/>
      <c r="AK283" s="527"/>
      <c r="AL283" s="527"/>
      <c r="AM283" s="527"/>
      <c r="AN283" s="527"/>
      <c r="AO283" s="527"/>
      <c r="AP283" s="527"/>
      <c r="AQ283" s="527"/>
      <c r="AR283" s="527"/>
      <c r="AS283" s="527"/>
      <c r="AT283" s="527"/>
      <c r="AU283" s="527"/>
      <c r="AV283" s="527"/>
      <c r="AW283" s="527"/>
      <c r="AX283" s="528"/>
    </row>
    <row r="284" spans="1:50" x14ac:dyDescent="0.25">
      <c r="A284" s="533"/>
      <c r="B284" s="534"/>
      <c r="C284" s="534"/>
      <c r="D284" s="534"/>
      <c r="E284" s="534"/>
      <c r="F284" s="534"/>
      <c r="G284" s="534"/>
      <c r="H284" s="535" t="str">
        <f>IF(A284="","",LOOKUP(A284,BoonRef!$A$2:$A$430,BoonRef!$P$2:$P$430))</f>
        <v/>
      </c>
      <c r="I284" s="535"/>
      <c r="J284" s="529"/>
      <c r="K284" s="529"/>
      <c r="L284" s="529"/>
      <c r="M284" s="529"/>
      <c r="N284" s="529"/>
      <c r="O284" s="529"/>
      <c r="P284" s="529"/>
      <c r="Q284" s="529"/>
      <c r="R284" s="529"/>
      <c r="S284" s="529"/>
      <c r="T284" s="529"/>
      <c r="U284" s="529"/>
      <c r="V284" s="529"/>
      <c r="W284" s="529"/>
      <c r="X284" s="529"/>
      <c r="Y284" s="530"/>
      <c r="Z284" s="533"/>
      <c r="AA284" s="534"/>
      <c r="AB284" s="534"/>
      <c r="AC284" s="534"/>
      <c r="AD284" s="534"/>
      <c r="AE284" s="535" t="str">
        <f>IF(Z284="","",LOOKUP(Z284,KanckRef!$A$2:$A$170,KanckRef!$F$2:$F$170))</f>
        <v/>
      </c>
      <c r="AF284" s="535"/>
      <c r="AG284" s="529"/>
      <c r="AH284" s="529"/>
      <c r="AI284" s="529"/>
      <c r="AJ284" s="529"/>
      <c r="AK284" s="529"/>
      <c r="AL284" s="529"/>
      <c r="AM284" s="529"/>
      <c r="AN284" s="529"/>
      <c r="AO284" s="529"/>
      <c r="AP284" s="529"/>
      <c r="AQ284" s="529"/>
      <c r="AR284" s="529"/>
      <c r="AS284" s="529"/>
      <c r="AT284" s="529"/>
      <c r="AU284" s="529"/>
      <c r="AV284" s="529"/>
      <c r="AW284" s="529"/>
      <c r="AX284" s="530"/>
    </row>
    <row r="285" spans="1:50" ht="15" customHeight="1" x14ac:dyDescent="0.25">
      <c r="A285" s="533"/>
      <c r="B285" s="534"/>
      <c r="C285" s="534"/>
      <c r="D285" s="534"/>
      <c r="E285" s="534"/>
      <c r="F285" s="534"/>
      <c r="G285" s="534"/>
      <c r="H285" s="535" t="str">
        <f>IF(A284="","",LOOKUP(A284,BoonRef!$A$2:$A$430,BoonRef!$Q$2:$Q$430))</f>
        <v/>
      </c>
      <c r="I285" s="535"/>
      <c r="J285" s="529"/>
      <c r="K285" s="529"/>
      <c r="L285" s="529"/>
      <c r="M285" s="529"/>
      <c r="N285" s="529"/>
      <c r="O285" s="529"/>
      <c r="P285" s="529"/>
      <c r="Q285" s="529"/>
      <c r="R285" s="529"/>
      <c r="S285" s="529"/>
      <c r="T285" s="529"/>
      <c r="U285" s="529"/>
      <c r="V285" s="529"/>
      <c r="W285" s="529"/>
      <c r="X285" s="529"/>
      <c r="Y285" s="530"/>
      <c r="Z285" s="533"/>
      <c r="AA285" s="534"/>
      <c r="AB285" s="534"/>
      <c r="AC285" s="534"/>
      <c r="AD285" s="534"/>
      <c r="AE285" s="535"/>
      <c r="AF285" s="535"/>
      <c r="AG285" s="529"/>
      <c r="AH285" s="529"/>
      <c r="AI285" s="529"/>
      <c r="AJ285" s="529"/>
      <c r="AK285" s="529"/>
      <c r="AL285" s="529"/>
      <c r="AM285" s="529"/>
      <c r="AN285" s="529"/>
      <c r="AO285" s="529"/>
      <c r="AP285" s="529"/>
      <c r="AQ285" s="529"/>
      <c r="AR285" s="529"/>
      <c r="AS285" s="529"/>
      <c r="AT285" s="529"/>
      <c r="AU285" s="529"/>
      <c r="AV285" s="529"/>
      <c r="AW285" s="529"/>
      <c r="AX285" s="530"/>
    </row>
    <row r="286" spans="1:50" ht="15" customHeight="1" x14ac:dyDescent="0.25">
      <c r="A286" s="536" t="str">
        <f>IF(A284="","",LOOKUP(A284,BoonRef!$A$2:$A$430,BoonRef!$O$2:$O$430))</f>
        <v/>
      </c>
      <c r="B286" s="535"/>
      <c r="C286" s="535"/>
      <c r="D286" s="535"/>
      <c r="E286" s="535"/>
      <c r="F286" s="535"/>
      <c r="G286" s="535"/>
      <c r="H286" s="535"/>
      <c r="I286" s="535"/>
      <c r="J286" s="529"/>
      <c r="K286" s="529"/>
      <c r="L286" s="529"/>
      <c r="M286" s="529"/>
      <c r="N286" s="529"/>
      <c r="O286" s="529"/>
      <c r="P286" s="529"/>
      <c r="Q286" s="529"/>
      <c r="R286" s="529"/>
      <c r="S286" s="529"/>
      <c r="T286" s="529"/>
      <c r="U286" s="529"/>
      <c r="V286" s="529"/>
      <c r="W286" s="529"/>
      <c r="X286" s="529"/>
      <c r="Y286" s="530"/>
      <c r="Z286" s="536" t="str">
        <f>IF(Z284="","",LOOKUP(Z284,KanckRef!$A$2:$A$170,KanckRef!$D$2:$D$170))</f>
        <v/>
      </c>
      <c r="AA286" s="535"/>
      <c r="AB286" s="535"/>
      <c r="AC286" s="535"/>
      <c r="AD286" s="535"/>
      <c r="AE286" s="535"/>
      <c r="AF286" s="535"/>
      <c r="AG286" s="529"/>
      <c r="AH286" s="529"/>
      <c r="AI286" s="529"/>
      <c r="AJ286" s="529"/>
      <c r="AK286" s="529"/>
      <c r="AL286" s="529"/>
      <c r="AM286" s="529"/>
      <c r="AN286" s="529"/>
      <c r="AO286" s="529"/>
      <c r="AP286" s="529"/>
      <c r="AQ286" s="529"/>
      <c r="AR286" s="529"/>
      <c r="AS286" s="529"/>
      <c r="AT286" s="529"/>
      <c r="AU286" s="529"/>
      <c r="AV286" s="529"/>
      <c r="AW286" s="529"/>
      <c r="AX286" s="530"/>
    </row>
    <row r="287" spans="1:50" x14ac:dyDescent="0.25">
      <c r="A287" s="536" t="str">
        <f>IF(A284="","",LOOKUP(A284,BoonRef!$A$2:$A$430,BoonRef!$N$2:$N$430))</f>
        <v/>
      </c>
      <c r="B287" s="535"/>
      <c r="C287" s="535"/>
      <c r="D287" s="535"/>
      <c r="E287" s="535"/>
      <c r="F287" s="535"/>
      <c r="G287" s="535"/>
      <c r="H287" s="535"/>
      <c r="I287" s="535"/>
      <c r="J287" s="529"/>
      <c r="K287" s="529"/>
      <c r="L287" s="529"/>
      <c r="M287" s="529"/>
      <c r="N287" s="529"/>
      <c r="O287" s="529"/>
      <c r="P287" s="529"/>
      <c r="Q287" s="529"/>
      <c r="R287" s="529"/>
      <c r="S287" s="529"/>
      <c r="T287" s="529"/>
      <c r="U287" s="529"/>
      <c r="V287" s="529"/>
      <c r="W287" s="529"/>
      <c r="X287" s="529"/>
      <c r="Y287" s="530"/>
      <c r="Z287" s="536"/>
      <c r="AA287" s="535"/>
      <c r="AB287" s="535"/>
      <c r="AC287" s="535"/>
      <c r="AD287" s="535"/>
      <c r="AE287" s="535"/>
      <c r="AF287" s="535"/>
      <c r="AG287" s="529"/>
      <c r="AH287" s="529"/>
      <c r="AI287" s="529"/>
      <c r="AJ287" s="529"/>
      <c r="AK287" s="529"/>
      <c r="AL287" s="529"/>
      <c r="AM287" s="529"/>
      <c r="AN287" s="529"/>
      <c r="AO287" s="529"/>
      <c r="AP287" s="529"/>
      <c r="AQ287" s="529"/>
      <c r="AR287" s="529"/>
      <c r="AS287" s="529"/>
      <c r="AT287" s="529"/>
      <c r="AU287" s="529"/>
      <c r="AV287" s="529"/>
      <c r="AW287" s="529"/>
      <c r="AX287" s="530"/>
    </row>
    <row r="288" spans="1:50" ht="15.75" thickBot="1" x14ac:dyDescent="0.3">
      <c r="A288" s="537"/>
      <c r="B288" s="538"/>
      <c r="C288" s="538"/>
      <c r="D288" s="538"/>
      <c r="E288" s="538"/>
      <c r="F288" s="538"/>
      <c r="G288" s="538"/>
      <c r="H288" s="538"/>
      <c r="I288" s="538"/>
      <c r="J288" s="531"/>
      <c r="K288" s="531"/>
      <c r="L288" s="531"/>
      <c r="M288" s="531"/>
      <c r="N288" s="531"/>
      <c r="O288" s="531"/>
      <c r="P288" s="531"/>
      <c r="Q288" s="531"/>
      <c r="R288" s="531"/>
      <c r="S288" s="531"/>
      <c r="T288" s="531"/>
      <c r="U288" s="531"/>
      <c r="V288" s="531"/>
      <c r="W288" s="531"/>
      <c r="X288" s="531"/>
      <c r="Y288" s="532"/>
      <c r="Z288" s="537"/>
      <c r="AA288" s="538"/>
      <c r="AB288" s="538"/>
      <c r="AC288" s="538"/>
      <c r="AD288" s="538"/>
      <c r="AE288" s="538"/>
      <c r="AF288" s="538"/>
      <c r="AG288" s="531"/>
      <c r="AH288" s="531"/>
      <c r="AI288" s="531"/>
      <c r="AJ288" s="531"/>
      <c r="AK288" s="531"/>
      <c r="AL288" s="531"/>
      <c r="AM288" s="531"/>
      <c r="AN288" s="531"/>
      <c r="AO288" s="531"/>
      <c r="AP288" s="531"/>
      <c r="AQ288" s="531"/>
      <c r="AR288" s="531"/>
      <c r="AS288" s="531"/>
      <c r="AT288" s="531"/>
      <c r="AU288" s="531"/>
      <c r="AV288" s="531"/>
      <c r="AW288" s="531"/>
      <c r="AX288" s="532"/>
    </row>
    <row r="289" spans="1:50" x14ac:dyDescent="0.25">
      <c r="A289" s="524"/>
      <c r="B289" s="525"/>
      <c r="C289" s="525"/>
      <c r="D289" s="525"/>
      <c r="E289" s="525"/>
      <c r="F289" s="525"/>
      <c r="G289" s="525"/>
      <c r="H289" s="526" t="str">
        <f>IF(A290="","",LOOKUP(A290,BoonRef!$A$2:$A$430,BoonRef!$C$2:$C$430))</f>
        <v/>
      </c>
      <c r="I289" s="526"/>
      <c r="J289" s="527"/>
      <c r="K289" s="527"/>
      <c r="L289" s="527"/>
      <c r="M289" s="527"/>
      <c r="N289" s="527"/>
      <c r="O289" s="527"/>
      <c r="P289" s="527"/>
      <c r="Q289" s="527"/>
      <c r="R289" s="527"/>
      <c r="S289" s="527"/>
      <c r="T289" s="527"/>
      <c r="U289" s="527"/>
      <c r="V289" s="527"/>
      <c r="W289" s="527"/>
      <c r="X289" s="527"/>
      <c r="Y289" s="528"/>
      <c r="Z289" s="524"/>
      <c r="AA289" s="525"/>
      <c r="AB289" s="525"/>
      <c r="AC289" s="525"/>
      <c r="AD289" s="525"/>
      <c r="AE289" s="526" t="str">
        <f>IF(Z290="","",LOOKUP(Z290,KanckRef!$A$2:$A$170,KanckRef!$E$2:$E$170))</f>
        <v/>
      </c>
      <c r="AF289" s="526"/>
      <c r="AG289" s="527"/>
      <c r="AH289" s="527"/>
      <c r="AI289" s="527"/>
      <c r="AJ289" s="527"/>
      <c r="AK289" s="527"/>
      <c r="AL289" s="527"/>
      <c r="AM289" s="527"/>
      <c r="AN289" s="527"/>
      <c r="AO289" s="527"/>
      <c r="AP289" s="527"/>
      <c r="AQ289" s="527"/>
      <c r="AR289" s="527"/>
      <c r="AS289" s="527"/>
      <c r="AT289" s="527"/>
      <c r="AU289" s="527"/>
      <c r="AV289" s="527"/>
      <c r="AW289" s="527"/>
      <c r="AX289" s="528"/>
    </row>
    <row r="290" spans="1:50" ht="15" customHeight="1" x14ac:dyDescent="0.25">
      <c r="A290" s="533"/>
      <c r="B290" s="534"/>
      <c r="C290" s="534"/>
      <c r="D290" s="534"/>
      <c r="E290" s="534"/>
      <c r="F290" s="534"/>
      <c r="G290" s="534"/>
      <c r="H290" s="535" t="str">
        <f>IF(A290="","",LOOKUP(A290,BoonRef!$A$2:$A$430,BoonRef!$P$2:$P$430))</f>
        <v/>
      </c>
      <c r="I290" s="535"/>
      <c r="J290" s="529"/>
      <c r="K290" s="529"/>
      <c r="L290" s="529"/>
      <c r="M290" s="529"/>
      <c r="N290" s="529"/>
      <c r="O290" s="529"/>
      <c r="P290" s="529"/>
      <c r="Q290" s="529"/>
      <c r="R290" s="529"/>
      <c r="S290" s="529"/>
      <c r="T290" s="529"/>
      <c r="U290" s="529"/>
      <c r="V290" s="529"/>
      <c r="W290" s="529"/>
      <c r="X290" s="529"/>
      <c r="Y290" s="530"/>
      <c r="Z290" s="533"/>
      <c r="AA290" s="534"/>
      <c r="AB290" s="534"/>
      <c r="AC290" s="534"/>
      <c r="AD290" s="534"/>
      <c r="AE290" s="535" t="str">
        <f>IF(Z290="","",LOOKUP(Z290,KanckRef!$A$2:$A$170,KanckRef!$F$2:$F$170))</f>
        <v/>
      </c>
      <c r="AF290" s="535"/>
      <c r="AG290" s="529"/>
      <c r="AH290" s="529"/>
      <c r="AI290" s="529"/>
      <c r="AJ290" s="529"/>
      <c r="AK290" s="529"/>
      <c r="AL290" s="529"/>
      <c r="AM290" s="529"/>
      <c r="AN290" s="529"/>
      <c r="AO290" s="529"/>
      <c r="AP290" s="529"/>
      <c r="AQ290" s="529"/>
      <c r="AR290" s="529"/>
      <c r="AS290" s="529"/>
      <c r="AT290" s="529"/>
      <c r="AU290" s="529"/>
      <c r="AV290" s="529"/>
      <c r="AW290" s="529"/>
      <c r="AX290" s="530"/>
    </row>
    <row r="291" spans="1:50" ht="15" customHeight="1" x14ac:dyDescent="0.25">
      <c r="A291" s="533"/>
      <c r="B291" s="534"/>
      <c r="C291" s="534"/>
      <c r="D291" s="534"/>
      <c r="E291" s="534"/>
      <c r="F291" s="534"/>
      <c r="G291" s="534"/>
      <c r="H291" s="535" t="str">
        <f>IF(A290="","",LOOKUP(A290,BoonRef!$A$2:$A$430,BoonRef!$Q$2:$Q$430))</f>
        <v/>
      </c>
      <c r="I291" s="535"/>
      <c r="J291" s="529"/>
      <c r="K291" s="529"/>
      <c r="L291" s="529"/>
      <c r="M291" s="529"/>
      <c r="N291" s="529"/>
      <c r="O291" s="529"/>
      <c r="P291" s="529"/>
      <c r="Q291" s="529"/>
      <c r="R291" s="529"/>
      <c r="S291" s="529"/>
      <c r="T291" s="529"/>
      <c r="U291" s="529"/>
      <c r="V291" s="529"/>
      <c r="W291" s="529"/>
      <c r="X291" s="529"/>
      <c r="Y291" s="530"/>
      <c r="Z291" s="533"/>
      <c r="AA291" s="534"/>
      <c r="AB291" s="534"/>
      <c r="AC291" s="534"/>
      <c r="AD291" s="534"/>
      <c r="AE291" s="535"/>
      <c r="AF291" s="535"/>
      <c r="AG291" s="529"/>
      <c r="AH291" s="529"/>
      <c r="AI291" s="529"/>
      <c r="AJ291" s="529"/>
      <c r="AK291" s="529"/>
      <c r="AL291" s="529"/>
      <c r="AM291" s="529"/>
      <c r="AN291" s="529"/>
      <c r="AO291" s="529"/>
      <c r="AP291" s="529"/>
      <c r="AQ291" s="529"/>
      <c r="AR291" s="529"/>
      <c r="AS291" s="529"/>
      <c r="AT291" s="529"/>
      <c r="AU291" s="529"/>
      <c r="AV291" s="529"/>
      <c r="AW291" s="529"/>
      <c r="AX291" s="530"/>
    </row>
    <row r="292" spans="1:50" x14ac:dyDescent="0.25">
      <c r="A292" s="536" t="str">
        <f>IF(A290="","",LOOKUP(A290,BoonRef!$A$2:$A$430,BoonRef!$O$2:$O$430))</f>
        <v/>
      </c>
      <c r="B292" s="535"/>
      <c r="C292" s="535"/>
      <c r="D292" s="535"/>
      <c r="E292" s="535"/>
      <c r="F292" s="535"/>
      <c r="G292" s="535"/>
      <c r="H292" s="535"/>
      <c r="I292" s="535"/>
      <c r="J292" s="529"/>
      <c r="K292" s="529"/>
      <c r="L292" s="529"/>
      <c r="M292" s="529"/>
      <c r="N292" s="529"/>
      <c r="O292" s="529"/>
      <c r="P292" s="529"/>
      <c r="Q292" s="529"/>
      <c r="R292" s="529"/>
      <c r="S292" s="529"/>
      <c r="T292" s="529"/>
      <c r="U292" s="529"/>
      <c r="V292" s="529"/>
      <c r="W292" s="529"/>
      <c r="X292" s="529"/>
      <c r="Y292" s="530"/>
      <c r="Z292" s="536" t="str">
        <f>IF(Z290="","",LOOKUP(Z290,KanckRef!$A$2:$A$170,KanckRef!$D$2:$D$170))</f>
        <v/>
      </c>
      <c r="AA292" s="535"/>
      <c r="AB292" s="535"/>
      <c r="AC292" s="535"/>
      <c r="AD292" s="535"/>
      <c r="AE292" s="535"/>
      <c r="AF292" s="535"/>
      <c r="AG292" s="529"/>
      <c r="AH292" s="529"/>
      <c r="AI292" s="529"/>
      <c r="AJ292" s="529"/>
      <c r="AK292" s="529"/>
      <c r="AL292" s="529"/>
      <c r="AM292" s="529"/>
      <c r="AN292" s="529"/>
      <c r="AO292" s="529"/>
      <c r="AP292" s="529"/>
      <c r="AQ292" s="529"/>
      <c r="AR292" s="529"/>
      <c r="AS292" s="529"/>
      <c r="AT292" s="529"/>
      <c r="AU292" s="529"/>
      <c r="AV292" s="529"/>
      <c r="AW292" s="529"/>
      <c r="AX292" s="530"/>
    </row>
    <row r="293" spans="1:50" x14ac:dyDescent="0.25">
      <c r="A293" s="536" t="str">
        <f>IF(A290="","",LOOKUP(A290,BoonRef!$A$2:$A$430,BoonRef!$N$2:$N$430))</f>
        <v/>
      </c>
      <c r="B293" s="535"/>
      <c r="C293" s="535"/>
      <c r="D293" s="535"/>
      <c r="E293" s="535"/>
      <c r="F293" s="535"/>
      <c r="G293" s="535"/>
      <c r="H293" s="535"/>
      <c r="I293" s="535"/>
      <c r="J293" s="529"/>
      <c r="K293" s="529"/>
      <c r="L293" s="529"/>
      <c r="M293" s="529"/>
      <c r="N293" s="529"/>
      <c r="O293" s="529"/>
      <c r="P293" s="529"/>
      <c r="Q293" s="529"/>
      <c r="R293" s="529"/>
      <c r="S293" s="529"/>
      <c r="T293" s="529"/>
      <c r="U293" s="529"/>
      <c r="V293" s="529"/>
      <c r="W293" s="529"/>
      <c r="X293" s="529"/>
      <c r="Y293" s="530"/>
      <c r="Z293" s="536"/>
      <c r="AA293" s="535"/>
      <c r="AB293" s="535"/>
      <c r="AC293" s="535"/>
      <c r="AD293" s="535"/>
      <c r="AE293" s="535"/>
      <c r="AF293" s="535"/>
      <c r="AG293" s="529"/>
      <c r="AH293" s="529"/>
      <c r="AI293" s="529"/>
      <c r="AJ293" s="529"/>
      <c r="AK293" s="529"/>
      <c r="AL293" s="529"/>
      <c r="AM293" s="529"/>
      <c r="AN293" s="529"/>
      <c r="AO293" s="529"/>
      <c r="AP293" s="529"/>
      <c r="AQ293" s="529"/>
      <c r="AR293" s="529"/>
      <c r="AS293" s="529"/>
      <c r="AT293" s="529"/>
      <c r="AU293" s="529"/>
      <c r="AV293" s="529"/>
      <c r="AW293" s="529"/>
      <c r="AX293" s="530"/>
    </row>
    <row r="294" spans="1:50" ht="15.75" thickBot="1" x14ac:dyDescent="0.3">
      <c r="A294" s="537"/>
      <c r="B294" s="538"/>
      <c r="C294" s="538"/>
      <c r="D294" s="538"/>
      <c r="E294" s="538"/>
      <c r="F294" s="538"/>
      <c r="G294" s="538"/>
      <c r="H294" s="538"/>
      <c r="I294" s="538"/>
      <c r="J294" s="531"/>
      <c r="K294" s="531"/>
      <c r="L294" s="531"/>
      <c r="M294" s="531"/>
      <c r="N294" s="531"/>
      <c r="O294" s="531"/>
      <c r="P294" s="531"/>
      <c r="Q294" s="531"/>
      <c r="R294" s="531"/>
      <c r="S294" s="531"/>
      <c r="T294" s="531"/>
      <c r="U294" s="531"/>
      <c r="V294" s="531"/>
      <c r="W294" s="531"/>
      <c r="X294" s="531"/>
      <c r="Y294" s="532"/>
      <c r="Z294" s="537"/>
      <c r="AA294" s="538"/>
      <c r="AB294" s="538"/>
      <c r="AC294" s="538"/>
      <c r="AD294" s="538"/>
      <c r="AE294" s="538"/>
      <c r="AF294" s="538"/>
      <c r="AG294" s="531"/>
      <c r="AH294" s="531"/>
      <c r="AI294" s="531"/>
      <c r="AJ294" s="531"/>
      <c r="AK294" s="531"/>
      <c r="AL294" s="531"/>
      <c r="AM294" s="531"/>
      <c r="AN294" s="531"/>
      <c r="AO294" s="531"/>
      <c r="AP294" s="531"/>
      <c r="AQ294" s="531"/>
      <c r="AR294" s="531"/>
      <c r="AS294" s="531"/>
      <c r="AT294" s="531"/>
      <c r="AU294" s="531"/>
      <c r="AV294" s="531"/>
      <c r="AW294" s="531"/>
      <c r="AX294" s="532"/>
    </row>
    <row r="295" spans="1:50" ht="15" customHeight="1" x14ac:dyDescent="0.25">
      <c r="A295" s="524"/>
      <c r="B295" s="525"/>
      <c r="C295" s="525"/>
      <c r="D295" s="525"/>
      <c r="E295" s="525"/>
      <c r="F295" s="525"/>
      <c r="G295" s="525"/>
      <c r="H295" s="526" t="str">
        <f>IF(A296="","",LOOKUP(A296,BoonRef!$A$2:$A$430,BoonRef!$C$2:$C$430))</f>
        <v/>
      </c>
      <c r="I295" s="526"/>
      <c r="J295" s="527"/>
      <c r="K295" s="527"/>
      <c r="L295" s="527"/>
      <c r="M295" s="527"/>
      <c r="N295" s="527"/>
      <c r="O295" s="527"/>
      <c r="P295" s="527"/>
      <c r="Q295" s="527"/>
      <c r="R295" s="527"/>
      <c r="S295" s="527"/>
      <c r="T295" s="527"/>
      <c r="U295" s="527"/>
      <c r="V295" s="527"/>
      <c r="W295" s="527"/>
      <c r="X295" s="527"/>
      <c r="Y295" s="528"/>
      <c r="Z295" s="524"/>
      <c r="AA295" s="525"/>
      <c r="AB295" s="525"/>
      <c r="AC295" s="525"/>
      <c r="AD295" s="525"/>
      <c r="AE295" s="526" t="str">
        <f>IF(Z296="","",LOOKUP(Z296,KanckRef!$A$2:$A$170,KanckRef!$E$2:$E$170))</f>
        <v/>
      </c>
      <c r="AF295" s="526"/>
      <c r="AG295" s="527"/>
      <c r="AH295" s="527"/>
      <c r="AI295" s="527"/>
      <c r="AJ295" s="527"/>
      <c r="AK295" s="527"/>
      <c r="AL295" s="527"/>
      <c r="AM295" s="527"/>
      <c r="AN295" s="527"/>
      <c r="AO295" s="527"/>
      <c r="AP295" s="527"/>
      <c r="AQ295" s="527"/>
      <c r="AR295" s="527"/>
      <c r="AS295" s="527"/>
      <c r="AT295" s="527"/>
      <c r="AU295" s="527"/>
      <c r="AV295" s="527"/>
      <c r="AW295" s="527"/>
      <c r="AX295" s="528"/>
    </row>
    <row r="296" spans="1:50" ht="15" customHeight="1" x14ac:dyDescent="0.25">
      <c r="A296" s="533"/>
      <c r="B296" s="534"/>
      <c r="C296" s="534"/>
      <c r="D296" s="534"/>
      <c r="E296" s="534"/>
      <c r="F296" s="534"/>
      <c r="G296" s="534"/>
      <c r="H296" s="535" t="str">
        <f>IF(A296="","",LOOKUP(A296,BoonRef!$A$2:$A$430,BoonRef!$P$2:$P$430))</f>
        <v/>
      </c>
      <c r="I296" s="535"/>
      <c r="J296" s="529"/>
      <c r="K296" s="529"/>
      <c r="L296" s="529"/>
      <c r="M296" s="529"/>
      <c r="N296" s="529"/>
      <c r="O296" s="529"/>
      <c r="P296" s="529"/>
      <c r="Q296" s="529"/>
      <c r="R296" s="529"/>
      <c r="S296" s="529"/>
      <c r="T296" s="529"/>
      <c r="U296" s="529"/>
      <c r="V296" s="529"/>
      <c r="W296" s="529"/>
      <c r="X296" s="529"/>
      <c r="Y296" s="530"/>
      <c r="Z296" s="533"/>
      <c r="AA296" s="534"/>
      <c r="AB296" s="534"/>
      <c r="AC296" s="534"/>
      <c r="AD296" s="534"/>
      <c r="AE296" s="535" t="str">
        <f>IF(Z296="","",LOOKUP(Z296,KanckRef!$A$2:$A$170,KanckRef!$F$2:$F$170))</f>
        <v/>
      </c>
      <c r="AF296" s="535"/>
      <c r="AG296" s="529"/>
      <c r="AH296" s="529"/>
      <c r="AI296" s="529"/>
      <c r="AJ296" s="529"/>
      <c r="AK296" s="529"/>
      <c r="AL296" s="529"/>
      <c r="AM296" s="529"/>
      <c r="AN296" s="529"/>
      <c r="AO296" s="529"/>
      <c r="AP296" s="529"/>
      <c r="AQ296" s="529"/>
      <c r="AR296" s="529"/>
      <c r="AS296" s="529"/>
      <c r="AT296" s="529"/>
      <c r="AU296" s="529"/>
      <c r="AV296" s="529"/>
      <c r="AW296" s="529"/>
      <c r="AX296" s="530"/>
    </row>
    <row r="297" spans="1:50" x14ac:dyDescent="0.25">
      <c r="A297" s="533"/>
      <c r="B297" s="534"/>
      <c r="C297" s="534"/>
      <c r="D297" s="534"/>
      <c r="E297" s="534"/>
      <c r="F297" s="534"/>
      <c r="G297" s="534"/>
      <c r="H297" s="535" t="str">
        <f>IF(A296="","",LOOKUP(A296,BoonRef!$A$2:$A$430,BoonRef!$Q$2:$Q$430))</f>
        <v/>
      </c>
      <c r="I297" s="535"/>
      <c r="J297" s="529"/>
      <c r="K297" s="529"/>
      <c r="L297" s="529"/>
      <c r="M297" s="529"/>
      <c r="N297" s="529"/>
      <c r="O297" s="529"/>
      <c r="P297" s="529"/>
      <c r="Q297" s="529"/>
      <c r="R297" s="529"/>
      <c r="S297" s="529"/>
      <c r="T297" s="529"/>
      <c r="U297" s="529"/>
      <c r="V297" s="529"/>
      <c r="W297" s="529"/>
      <c r="X297" s="529"/>
      <c r="Y297" s="530"/>
      <c r="Z297" s="533"/>
      <c r="AA297" s="534"/>
      <c r="AB297" s="534"/>
      <c r="AC297" s="534"/>
      <c r="AD297" s="534"/>
      <c r="AE297" s="535"/>
      <c r="AF297" s="535"/>
      <c r="AG297" s="529"/>
      <c r="AH297" s="529"/>
      <c r="AI297" s="529"/>
      <c r="AJ297" s="529"/>
      <c r="AK297" s="529"/>
      <c r="AL297" s="529"/>
      <c r="AM297" s="529"/>
      <c r="AN297" s="529"/>
      <c r="AO297" s="529"/>
      <c r="AP297" s="529"/>
      <c r="AQ297" s="529"/>
      <c r="AR297" s="529"/>
      <c r="AS297" s="529"/>
      <c r="AT297" s="529"/>
      <c r="AU297" s="529"/>
      <c r="AV297" s="529"/>
      <c r="AW297" s="529"/>
      <c r="AX297" s="530"/>
    </row>
    <row r="298" spans="1:50" x14ac:dyDescent="0.25">
      <c r="A298" s="536" t="str">
        <f>IF(A296="","",LOOKUP(A296,BoonRef!$A$2:$A$430,BoonRef!$O$2:$O$430))</f>
        <v/>
      </c>
      <c r="B298" s="535"/>
      <c r="C298" s="535"/>
      <c r="D298" s="535"/>
      <c r="E298" s="535"/>
      <c r="F298" s="535"/>
      <c r="G298" s="535"/>
      <c r="H298" s="535"/>
      <c r="I298" s="535"/>
      <c r="J298" s="529"/>
      <c r="K298" s="529"/>
      <c r="L298" s="529"/>
      <c r="M298" s="529"/>
      <c r="N298" s="529"/>
      <c r="O298" s="529"/>
      <c r="P298" s="529"/>
      <c r="Q298" s="529"/>
      <c r="R298" s="529"/>
      <c r="S298" s="529"/>
      <c r="T298" s="529"/>
      <c r="U298" s="529"/>
      <c r="V298" s="529"/>
      <c r="W298" s="529"/>
      <c r="X298" s="529"/>
      <c r="Y298" s="530"/>
      <c r="Z298" s="536" t="str">
        <f>IF(Z296="","",LOOKUP(Z296,KanckRef!$A$2:$A$170,KanckRef!$D$2:$D$170))</f>
        <v/>
      </c>
      <c r="AA298" s="535"/>
      <c r="AB298" s="535"/>
      <c r="AC298" s="535"/>
      <c r="AD298" s="535"/>
      <c r="AE298" s="535"/>
      <c r="AF298" s="535"/>
      <c r="AG298" s="529"/>
      <c r="AH298" s="529"/>
      <c r="AI298" s="529"/>
      <c r="AJ298" s="529"/>
      <c r="AK298" s="529"/>
      <c r="AL298" s="529"/>
      <c r="AM298" s="529"/>
      <c r="AN298" s="529"/>
      <c r="AO298" s="529"/>
      <c r="AP298" s="529"/>
      <c r="AQ298" s="529"/>
      <c r="AR298" s="529"/>
      <c r="AS298" s="529"/>
      <c r="AT298" s="529"/>
      <c r="AU298" s="529"/>
      <c r="AV298" s="529"/>
      <c r="AW298" s="529"/>
      <c r="AX298" s="530"/>
    </row>
    <row r="299" spans="1:50" x14ac:dyDescent="0.25">
      <c r="A299" s="536" t="str">
        <f>IF(A296="","",LOOKUP(A296,BoonRef!$A$2:$A$430,BoonRef!$N$2:$N$430))</f>
        <v/>
      </c>
      <c r="B299" s="535"/>
      <c r="C299" s="535"/>
      <c r="D299" s="535"/>
      <c r="E299" s="535"/>
      <c r="F299" s="535"/>
      <c r="G299" s="535"/>
      <c r="H299" s="535"/>
      <c r="I299" s="535"/>
      <c r="J299" s="529"/>
      <c r="K299" s="529"/>
      <c r="L299" s="529"/>
      <c r="M299" s="529"/>
      <c r="N299" s="529"/>
      <c r="O299" s="529"/>
      <c r="P299" s="529"/>
      <c r="Q299" s="529"/>
      <c r="R299" s="529"/>
      <c r="S299" s="529"/>
      <c r="T299" s="529"/>
      <c r="U299" s="529"/>
      <c r="V299" s="529"/>
      <c r="W299" s="529"/>
      <c r="X299" s="529"/>
      <c r="Y299" s="530"/>
      <c r="Z299" s="536"/>
      <c r="AA299" s="535"/>
      <c r="AB299" s="535"/>
      <c r="AC299" s="535"/>
      <c r="AD299" s="535"/>
      <c r="AE299" s="535"/>
      <c r="AF299" s="535"/>
      <c r="AG299" s="529"/>
      <c r="AH299" s="529"/>
      <c r="AI299" s="529"/>
      <c r="AJ299" s="529"/>
      <c r="AK299" s="529"/>
      <c r="AL299" s="529"/>
      <c r="AM299" s="529"/>
      <c r="AN299" s="529"/>
      <c r="AO299" s="529"/>
      <c r="AP299" s="529"/>
      <c r="AQ299" s="529"/>
      <c r="AR299" s="529"/>
      <c r="AS299" s="529"/>
      <c r="AT299" s="529"/>
      <c r="AU299" s="529"/>
      <c r="AV299" s="529"/>
      <c r="AW299" s="529"/>
      <c r="AX299" s="530"/>
    </row>
    <row r="300" spans="1:50" ht="15" customHeight="1" thickBot="1" x14ac:dyDescent="0.3">
      <c r="A300" s="537"/>
      <c r="B300" s="538"/>
      <c r="C300" s="538"/>
      <c r="D300" s="538"/>
      <c r="E300" s="538"/>
      <c r="F300" s="538"/>
      <c r="G300" s="538"/>
      <c r="H300" s="538"/>
      <c r="I300" s="538"/>
      <c r="J300" s="531"/>
      <c r="K300" s="531"/>
      <c r="L300" s="531"/>
      <c r="M300" s="531"/>
      <c r="N300" s="531"/>
      <c r="O300" s="531"/>
      <c r="P300" s="531"/>
      <c r="Q300" s="531"/>
      <c r="R300" s="531"/>
      <c r="S300" s="531"/>
      <c r="T300" s="531"/>
      <c r="U300" s="531"/>
      <c r="V300" s="531"/>
      <c r="W300" s="531"/>
      <c r="X300" s="531"/>
      <c r="Y300" s="532"/>
      <c r="Z300" s="537"/>
      <c r="AA300" s="538"/>
      <c r="AB300" s="538"/>
      <c r="AC300" s="538"/>
      <c r="AD300" s="538"/>
      <c r="AE300" s="538"/>
      <c r="AF300" s="538"/>
      <c r="AG300" s="531"/>
      <c r="AH300" s="531"/>
      <c r="AI300" s="531"/>
      <c r="AJ300" s="531"/>
      <c r="AK300" s="531"/>
      <c r="AL300" s="531"/>
      <c r="AM300" s="531"/>
      <c r="AN300" s="531"/>
      <c r="AO300" s="531"/>
      <c r="AP300" s="531"/>
      <c r="AQ300" s="531"/>
      <c r="AR300" s="531"/>
      <c r="AS300" s="531"/>
      <c r="AT300" s="531"/>
      <c r="AU300" s="531"/>
      <c r="AV300" s="531"/>
      <c r="AW300" s="531"/>
      <c r="AX300" s="532"/>
    </row>
    <row r="301" spans="1:50" ht="15" customHeight="1" x14ac:dyDescent="0.25">
      <c r="A301" s="524"/>
      <c r="B301" s="525"/>
      <c r="C301" s="525"/>
      <c r="D301" s="525"/>
      <c r="E301" s="525"/>
      <c r="F301" s="525"/>
      <c r="G301" s="525"/>
      <c r="H301" s="526" t="str">
        <f>IF(A302="","",LOOKUP(A302,BoonRef!$A$2:$A$430,BoonRef!$C$2:$C$430))</f>
        <v/>
      </c>
      <c r="I301" s="526"/>
      <c r="J301" s="527"/>
      <c r="K301" s="527"/>
      <c r="L301" s="527"/>
      <c r="M301" s="527"/>
      <c r="N301" s="527"/>
      <c r="O301" s="527"/>
      <c r="P301" s="527"/>
      <c r="Q301" s="527"/>
      <c r="R301" s="527"/>
      <c r="S301" s="527"/>
      <c r="T301" s="527"/>
      <c r="U301" s="527"/>
      <c r="V301" s="527"/>
      <c r="W301" s="527"/>
      <c r="X301" s="527"/>
      <c r="Y301" s="528"/>
      <c r="Z301" s="524"/>
      <c r="AA301" s="525"/>
      <c r="AB301" s="525"/>
      <c r="AC301" s="525"/>
      <c r="AD301" s="525"/>
      <c r="AE301" s="526" t="str">
        <f>IF(Z302="","",LOOKUP(Z302,KanckRef!$A$2:$A$170,KanckRef!$E$2:$E$170))</f>
        <v/>
      </c>
      <c r="AF301" s="526"/>
      <c r="AG301" s="527"/>
      <c r="AH301" s="527"/>
      <c r="AI301" s="527"/>
      <c r="AJ301" s="527"/>
      <c r="AK301" s="527"/>
      <c r="AL301" s="527"/>
      <c r="AM301" s="527"/>
      <c r="AN301" s="527"/>
      <c r="AO301" s="527"/>
      <c r="AP301" s="527"/>
      <c r="AQ301" s="527"/>
      <c r="AR301" s="527"/>
      <c r="AS301" s="527"/>
      <c r="AT301" s="527"/>
      <c r="AU301" s="527"/>
      <c r="AV301" s="527"/>
      <c r="AW301" s="527"/>
      <c r="AX301" s="528"/>
    </row>
    <row r="302" spans="1:50" x14ac:dyDescent="0.25">
      <c r="A302" s="533"/>
      <c r="B302" s="534"/>
      <c r="C302" s="534"/>
      <c r="D302" s="534"/>
      <c r="E302" s="534"/>
      <c r="F302" s="534"/>
      <c r="G302" s="534"/>
      <c r="H302" s="535" t="str">
        <f>IF(A302="","",LOOKUP(A302,BoonRef!$A$2:$A$430,BoonRef!$P$2:$P$430))</f>
        <v/>
      </c>
      <c r="I302" s="535"/>
      <c r="J302" s="529"/>
      <c r="K302" s="529"/>
      <c r="L302" s="529"/>
      <c r="M302" s="529"/>
      <c r="N302" s="529"/>
      <c r="O302" s="529"/>
      <c r="P302" s="529"/>
      <c r="Q302" s="529"/>
      <c r="R302" s="529"/>
      <c r="S302" s="529"/>
      <c r="T302" s="529"/>
      <c r="U302" s="529"/>
      <c r="V302" s="529"/>
      <c r="W302" s="529"/>
      <c r="X302" s="529"/>
      <c r="Y302" s="530"/>
      <c r="Z302" s="533"/>
      <c r="AA302" s="534"/>
      <c r="AB302" s="534"/>
      <c r="AC302" s="534"/>
      <c r="AD302" s="534"/>
      <c r="AE302" s="535" t="str">
        <f>IF(Z302="","",LOOKUP(Z302,KanckRef!$A$2:$A$170,KanckRef!$F$2:$F$170))</f>
        <v/>
      </c>
      <c r="AF302" s="535"/>
      <c r="AG302" s="529"/>
      <c r="AH302" s="529"/>
      <c r="AI302" s="529"/>
      <c r="AJ302" s="529"/>
      <c r="AK302" s="529"/>
      <c r="AL302" s="529"/>
      <c r="AM302" s="529"/>
      <c r="AN302" s="529"/>
      <c r="AO302" s="529"/>
      <c r="AP302" s="529"/>
      <c r="AQ302" s="529"/>
      <c r="AR302" s="529"/>
      <c r="AS302" s="529"/>
      <c r="AT302" s="529"/>
      <c r="AU302" s="529"/>
      <c r="AV302" s="529"/>
      <c r="AW302" s="529"/>
      <c r="AX302" s="530"/>
    </row>
    <row r="303" spans="1:50" x14ac:dyDescent="0.25">
      <c r="A303" s="533"/>
      <c r="B303" s="534"/>
      <c r="C303" s="534"/>
      <c r="D303" s="534"/>
      <c r="E303" s="534"/>
      <c r="F303" s="534"/>
      <c r="G303" s="534"/>
      <c r="H303" s="535" t="str">
        <f>IF(A302="","",LOOKUP(A302,BoonRef!$A$2:$A$430,BoonRef!$Q$2:$Q$430))</f>
        <v/>
      </c>
      <c r="I303" s="535"/>
      <c r="J303" s="529"/>
      <c r="K303" s="529"/>
      <c r="L303" s="529"/>
      <c r="M303" s="529"/>
      <c r="N303" s="529"/>
      <c r="O303" s="529"/>
      <c r="P303" s="529"/>
      <c r="Q303" s="529"/>
      <c r="R303" s="529"/>
      <c r="S303" s="529"/>
      <c r="T303" s="529"/>
      <c r="U303" s="529"/>
      <c r="V303" s="529"/>
      <c r="W303" s="529"/>
      <c r="X303" s="529"/>
      <c r="Y303" s="530"/>
      <c r="Z303" s="533"/>
      <c r="AA303" s="534"/>
      <c r="AB303" s="534"/>
      <c r="AC303" s="534"/>
      <c r="AD303" s="534"/>
      <c r="AE303" s="535"/>
      <c r="AF303" s="535"/>
      <c r="AG303" s="529"/>
      <c r="AH303" s="529"/>
      <c r="AI303" s="529"/>
      <c r="AJ303" s="529"/>
      <c r="AK303" s="529"/>
      <c r="AL303" s="529"/>
      <c r="AM303" s="529"/>
      <c r="AN303" s="529"/>
      <c r="AO303" s="529"/>
      <c r="AP303" s="529"/>
      <c r="AQ303" s="529"/>
      <c r="AR303" s="529"/>
      <c r="AS303" s="529"/>
      <c r="AT303" s="529"/>
      <c r="AU303" s="529"/>
      <c r="AV303" s="529"/>
      <c r="AW303" s="529"/>
      <c r="AX303" s="530"/>
    </row>
    <row r="304" spans="1:50" x14ac:dyDescent="0.25">
      <c r="A304" s="536" t="str">
        <f>IF(A302="","",LOOKUP(A302,BoonRef!$A$2:$A$430,BoonRef!$O$2:$O$430))</f>
        <v/>
      </c>
      <c r="B304" s="535"/>
      <c r="C304" s="535"/>
      <c r="D304" s="535"/>
      <c r="E304" s="535"/>
      <c r="F304" s="535"/>
      <c r="G304" s="535"/>
      <c r="H304" s="535"/>
      <c r="I304" s="535"/>
      <c r="J304" s="529"/>
      <c r="K304" s="529"/>
      <c r="L304" s="529"/>
      <c r="M304" s="529"/>
      <c r="N304" s="529"/>
      <c r="O304" s="529"/>
      <c r="P304" s="529"/>
      <c r="Q304" s="529"/>
      <c r="R304" s="529"/>
      <c r="S304" s="529"/>
      <c r="T304" s="529"/>
      <c r="U304" s="529"/>
      <c r="V304" s="529"/>
      <c r="W304" s="529"/>
      <c r="X304" s="529"/>
      <c r="Y304" s="530"/>
      <c r="Z304" s="536" t="str">
        <f>IF(Z302="","",LOOKUP(Z302,KanckRef!$A$2:$A$170,KanckRef!$D$2:$D$170))</f>
        <v/>
      </c>
      <c r="AA304" s="535"/>
      <c r="AB304" s="535"/>
      <c r="AC304" s="535"/>
      <c r="AD304" s="535"/>
      <c r="AE304" s="535"/>
      <c r="AF304" s="535"/>
      <c r="AG304" s="529"/>
      <c r="AH304" s="529"/>
      <c r="AI304" s="529"/>
      <c r="AJ304" s="529"/>
      <c r="AK304" s="529"/>
      <c r="AL304" s="529"/>
      <c r="AM304" s="529"/>
      <c r="AN304" s="529"/>
      <c r="AO304" s="529"/>
      <c r="AP304" s="529"/>
      <c r="AQ304" s="529"/>
      <c r="AR304" s="529"/>
      <c r="AS304" s="529"/>
      <c r="AT304" s="529"/>
      <c r="AU304" s="529"/>
      <c r="AV304" s="529"/>
      <c r="AW304" s="529"/>
      <c r="AX304" s="530"/>
    </row>
    <row r="305" spans="1:50" ht="15" customHeight="1" x14ac:dyDescent="0.25">
      <c r="A305" s="536" t="str">
        <f>IF(A302="","",LOOKUP(A302,BoonRef!$A$2:$A$430,BoonRef!$N$2:$N$430))</f>
        <v/>
      </c>
      <c r="B305" s="535"/>
      <c r="C305" s="535"/>
      <c r="D305" s="535"/>
      <c r="E305" s="535"/>
      <c r="F305" s="535"/>
      <c r="G305" s="535"/>
      <c r="H305" s="535"/>
      <c r="I305" s="535"/>
      <c r="J305" s="529"/>
      <c r="K305" s="529"/>
      <c r="L305" s="529"/>
      <c r="M305" s="529"/>
      <c r="N305" s="529"/>
      <c r="O305" s="529"/>
      <c r="P305" s="529"/>
      <c r="Q305" s="529"/>
      <c r="R305" s="529"/>
      <c r="S305" s="529"/>
      <c r="T305" s="529"/>
      <c r="U305" s="529"/>
      <c r="V305" s="529"/>
      <c r="W305" s="529"/>
      <c r="X305" s="529"/>
      <c r="Y305" s="530"/>
      <c r="Z305" s="536"/>
      <c r="AA305" s="535"/>
      <c r="AB305" s="535"/>
      <c r="AC305" s="535"/>
      <c r="AD305" s="535"/>
      <c r="AE305" s="535"/>
      <c r="AF305" s="535"/>
      <c r="AG305" s="529"/>
      <c r="AH305" s="529"/>
      <c r="AI305" s="529"/>
      <c r="AJ305" s="529"/>
      <c r="AK305" s="529"/>
      <c r="AL305" s="529"/>
      <c r="AM305" s="529"/>
      <c r="AN305" s="529"/>
      <c r="AO305" s="529"/>
      <c r="AP305" s="529"/>
      <c r="AQ305" s="529"/>
      <c r="AR305" s="529"/>
      <c r="AS305" s="529"/>
      <c r="AT305" s="529"/>
      <c r="AU305" s="529"/>
      <c r="AV305" s="529"/>
      <c r="AW305" s="529"/>
      <c r="AX305" s="530"/>
    </row>
    <row r="306" spans="1:50" ht="15" customHeight="1" thickBot="1" x14ac:dyDescent="0.3">
      <c r="A306" s="537"/>
      <c r="B306" s="538"/>
      <c r="C306" s="538"/>
      <c r="D306" s="538"/>
      <c r="E306" s="538"/>
      <c r="F306" s="538"/>
      <c r="G306" s="538"/>
      <c r="H306" s="538"/>
      <c r="I306" s="538"/>
      <c r="J306" s="531"/>
      <c r="K306" s="531"/>
      <c r="L306" s="531"/>
      <c r="M306" s="531"/>
      <c r="N306" s="531"/>
      <c r="O306" s="531"/>
      <c r="P306" s="531"/>
      <c r="Q306" s="531"/>
      <c r="R306" s="531"/>
      <c r="S306" s="531"/>
      <c r="T306" s="531"/>
      <c r="U306" s="531"/>
      <c r="V306" s="531"/>
      <c r="W306" s="531"/>
      <c r="X306" s="531"/>
      <c r="Y306" s="532"/>
      <c r="Z306" s="537"/>
      <c r="AA306" s="538"/>
      <c r="AB306" s="538"/>
      <c r="AC306" s="538"/>
      <c r="AD306" s="538"/>
      <c r="AE306" s="538"/>
      <c r="AF306" s="538"/>
      <c r="AG306" s="531"/>
      <c r="AH306" s="531"/>
      <c r="AI306" s="531"/>
      <c r="AJ306" s="531"/>
      <c r="AK306" s="531"/>
      <c r="AL306" s="531"/>
      <c r="AM306" s="531"/>
      <c r="AN306" s="531"/>
      <c r="AO306" s="531"/>
      <c r="AP306" s="531"/>
      <c r="AQ306" s="531"/>
      <c r="AR306" s="531"/>
      <c r="AS306" s="531"/>
      <c r="AT306" s="531"/>
      <c r="AU306" s="531"/>
      <c r="AV306" s="531"/>
      <c r="AW306" s="531"/>
      <c r="AX306" s="532"/>
    </row>
    <row r="307" spans="1:50" x14ac:dyDescent="0.25">
      <c r="A307" s="524"/>
      <c r="B307" s="525"/>
      <c r="C307" s="525"/>
      <c r="D307" s="525"/>
      <c r="E307" s="525"/>
      <c r="F307" s="525"/>
      <c r="G307" s="525"/>
      <c r="H307" s="526" t="str">
        <f>IF(A308="","",LOOKUP(A308,BoonRef!$A$2:$A$430,BoonRef!$C$2:$C$430))</f>
        <v/>
      </c>
      <c r="I307" s="526"/>
      <c r="J307" s="527"/>
      <c r="K307" s="527"/>
      <c r="L307" s="527"/>
      <c r="M307" s="527"/>
      <c r="N307" s="527"/>
      <c r="O307" s="527"/>
      <c r="P307" s="527"/>
      <c r="Q307" s="527"/>
      <c r="R307" s="527"/>
      <c r="S307" s="527"/>
      <c r="T307" s="527"/>
      <c r="U307" s="527"/>
      <c r="V307" s="527"/>
      <c r="W307" s="527"/>
      <c r="X307" s="527"/>
      <c r="Y307" s="528"/>
      <c r="Z307" s="524"/>
      <c r="AA307" s="525"/>
      <c r="AB307" s="525"/>
      <c r="AC307" s="525"/>
      <c r="AD307" s="525"/>
      <c r="AE307" s="526" t="str">
        <f>IF(Z308="","",LOOKUP(Z308,KanckRef!$A$2:$A$170,KanckRef!$E$2:$E$170))</f>
        <v/>
      </c>
      <c r="AF307" s="526"/>
      <c r="AG307" s="527"/>
      <c r="AH307" s="527"/>
      <c r="AI307" s="527"/>
      <c r="AJ307" s="527"/>
      <c r="AK307" s="527"/>
      <c r="AL307" s="527"/>
      <c r="AM307" s="527"/>
      <c r="AN307" s="527"/>
      <c r="AO307" s="527"/>
      <c r="AP307" s="527"/>
      <c r="AQ307" s="527"/>
      <c r="AR307" s="527"/>
      <c r="AS307" s="527"/>
      <c r="AT307" s="527"/>
      <c r="AU307" s="527"/>
      <c r="AV307" s="527"/>
      <c r="AW307" s="527"/>
      <c r="AX307" s="528"/>
    </row>
    <row r="308" spans="1:50" x14ac:dyDescent="0.25">
      <c r="A308" s="533"/>
      <c r="B308" s="534"/>
      <c r="C308" s="534"/>
      <c r="D308" s="534"/>
      <c r="E308" s="534"/>
      <c r="F308" s="534"/>
      <c r="G308" s="534"/>
      <c r="H308" s="535" t="str">
        <f>IF(A308="","",LOOKUP(A308,BoonRef!$A$2:$A$430,BoonRef!$P$2:$P$430))</f>
        <v/>
      </c>
      <c r="I308" s="535"/>
      <c r="J308" s="529"/>
      <c r="K308" s="529"/>
      <c r="L308" s="529"/>
      <c r="M308" s="529"/>
      <c r="N308" s="529"/>
      <c r="O308" s="529"/>
      <c r="P308" s="529"/>
      <c r="Q308" s="529"/>
      <c r="R308" s="529"/>
      <c r="S308" s="529"/>
      <c r="T308" s="529"/>
      <c r="U308" s="529"/>
      <c r="V308" s="529"/>
      <c r="W308" s="529"/>
      <c r="X308" s="529"/>
      <c r="Y308" s="530"/>
      <c r="Z308" s="533"/>
      <c r="AA308" s="534"/>
      <c r="AB308" s="534"/>
      <c r="AC308" s="534"/>
      <c r="AD308" s="534"/>
      <c r="AE308" s="535" t="str">
        <f>IF(Z308="","",LOOKUP(Z308,KanckRef!$A$2:$A$170,KanckRef!$F$2:$F$170))</f>
        <v/>
      </c>
      <c r="AF308" s="535"/>
      <c r="AG308" s="529"/>
      <c r="AH308" s="529"/>
      <c r="AI308" s="529"/>
      <c r="AJ308" s="529"/>
      <c r="AK308" s="529"/>
      <c r="AL308" s="529"/>
      <c r="AM308" s="529"/>
      <c r="AN308" s="529"/>
      <c r="AO308" s="529"/>
      <c r="AP308" s="529"/>
      <c r="AQ308" s="529"/>
      <c r="AR308" s="529"/>
      <c r="AS308" s="529"/>
      <c r="AT308" s="529"/>
      <c r="AU308" s="529"/>
      <c r="AV308" s="529"/>
      <c r="AW308" s="529"/>
      <c r="AX308" s="530"/>
    </row>
    <row r="309" spans="1:50" x14ac:dyDescent="0.25">
      <c r="A309" s="533"/>
      <c r="B309" s="534"/>
      <c r="C309" s="534"/>
      <c r="D309" s="534"/>
      <c r="E309" s="534"/>
      <c r="F309" s="534"/>
      <c r="G309" s="534"/>
      <c r="H309" s="535" t="str">
        <f>IF(A308="","",LOOKUP(A308,BoonRef!$A$2:$A$430,BoonRef!$Q$2:$Q$430))</f>
        <v/>
      </c>
      <c r="I309" s="535"/>
      <c r="J309" s="529"/>
      <c r="K309" s="529"/>
      <c r="L309" s="529"/>
      <c r="M309" s="529"/>
      <c r="N309" s="529"/>
      <c r="O309" s="529"/>
      <c r="P309" s="529"/>
      <c r="Q309" s="529"/>
      <c r="R309" s="529"/>
      <c r="S309" s="529"/>
      <c r="T309" s="529"/>
      <c r="U309" s="529"/>
      <c r="V309" s="529"/>
      <c r="W309" s="529"/>
      <c r="X309" s="529"/>
      <c r="Y309" s="530"/>
      <c r="Z309" s="533"/>
      <c r="AA309" s="534"/>
      <c r="AB309" s="534"/>
      <c r="AC309" s="534"/>
      <c r="AD309" s="534"/>
      <c r="AE309" s="535"/>
      <c r="AF309" s="535"/>
      <c r="AG309" s="529"/>
      <c r="AH309" s="529"/>
      <c r="AI309" s="529"/>
      <c r="AJ309" s="529"/>
      <c r="AK309" s="529"/>
      <c r="AL309" s="529"/>
      <c r="AM309" s="529"/>
      <c r="AN309" s="529"/>
      <c r="AO309" s="529"/>
      <c r="AP309" s="529"/>
      <c r="AQ309" s="529"/>
      <c r="AR309" s="529"/>
      <c r="AS309" s="529"/>
      <c r="AT309" s="529"/>
      <c r="AU309" s="529"/>
      <c r="AV309" s="529"/>
      <c r="AW309" s="529"/>
      <c r="AX309" s="530"/>
    </row>
    <row r="310" spans="1:50" ht="15" customHeight="1" x14ac:dyDescent="0.25">
      <c r="A310" s="536" t="str">
        <f>IF(A308="","",LOOKUP(A308,BoonRef!$A$2:$A$430,BoonRef!$O$2:$O$430))</f>
        <v/>
      </c>
      <c r="B310" s="535"/>
      <c r="C310" s="535"/>
      <c r="D310" s="535"/>
      <c r="E310" s="535"/>
      <c r="F310" s="535"/>
      <c r="G310" s="535"/>
      <c r="H310" s="535"/>
      <c r="I310" s="535"/>
      <c r="J310" s="529"/>
      <c r="K310" s="529"/>
      <c r="L310" s="529"/>
      <c r="M310" s="529"/>
      <c r="N310" s="529"/>
      <c r="O310" s="529"/>
      <c r="P310" s="529"/>
      <c r="Q310" s="529"/>
      <c r="R310" s="529"/>
      <c r="S310" s="529"/>
      <c r="T310" s="529"/>
      <c r="U310" s="529"/>
      <c r="V310" s="529"/>
      <c r="W310" s="529"/>
      <c r="X310" s="529"/>
      <c r="Y310" s="530"/>
      <c r="Z310" s="536" t="str">
        <f>IF(Z308="","",LOOKUP(Z308,KanckRef!$A$2:$A$170,KanckRef!$D$2:$D$170))</f>
        <v/>
      </c>
      <c r="AA310" s="535"/>
      <c r="AB310" s="535"/>
      <c r="AC310" s="535"/>
      <c r="AD310" s="535"/>
      <c r="AE310" s="535"/>
      <c r="AF310" s="535"/>
      <c r="AG310" s="529"/>
      <c r="AH310" s="529"/>
      <c r="AI310" s="529"/>
      <c r="AJ310" s="529"/>
      <c r="AK310" s="529"/>
      <c r="AL310" s="529"/>
      <c r="AM310" s="529"/>
      <c r="AN310" s="529"/>
      <c r="AO310" s="529"/>
      <c r="AP310" s="529"/>
      <c r="AQ310" s="529"/>
      <c r="AR310" s="529"/>
      <c r="AS310" s="529"/>
      <c r="AT310" s="529"/>
      <c r="AU310" s="529"/>
      <c r="AV310" s="529"/>
      <c r="AW310" s="529"/>
      <c r="AX310" s="530"/>
    </row>
    <row r="311" spans="1:50" ht="15" customHeight="1" x14ac:dyDescent="0.25">
      <c r="A311" s="536" t="str">
        <f>IF(A308="","",LOOKUP(A308,BoonRef!$A$2:$A$430,BoonRef!$N$2:$N$430))</f>
        <v/>
      </c>
      <c r="B311" s="535"/>
      <c r="C311" s="535"/>
      <c r="D311" s="535"/>
      <c r="E311" s="535"/>
      <c r="F311" s="535"/>
      <c r="G311" s="535"/>
      <c r="H311" s="535"/>
      <c r="I311" s="535"/>
      <c r="J311" s="529"/>
      <c r="K311" s="529"/>
      <c r="L311" s="529"/>
      <c r="M311" s="529"/>
      <c r="N311" s="529"/>
      <c r="O311" s="529"/>
      <c r="P311" s="529"/>
      <c r="Q311" s="529"/>
      <c r="R311" s="529"/>
      <c r="S311" s="529"/>
      <c r="T311" s="529"/>
      <c r="U311" s="529"/>
      <c r="V311" s="529"/>
      <c r="W311" s="529"/>
      <c r="X311" s="529"/>
      <c r="Y311" s="530"/>
      <c r="Z311" s="536"/>
      <c r="AA311" s="535"/>
      <c r="AB311" s="535"/>
      <c r="AC311" s="535"/>
      <c r="AD311" s="535"/>
      <c r="AE311" s="535"/>
      <c r="AF311" s="535"/>
      <c r="AG311" s="529"/>
      <c r="AH311" s="529"/>
      <c r="AI311" s="529"/>
      <c r="AJ311" s="529"/>
      <c r="AK311" s="529"/>
      <c r="AL311" s="529"/>
      <c r="AM311" s="529"/>
      <c r="AN311" s="529"/>
      <c r="AO311" s="529"/>
      <c r="AP311" s="529"/>
      <c r="AQ311" s="529"/>
      <c r="AR311" s="529"/>
      <c r="AS311" s="529"/>
      <c r="AT311" s="529"/>
      <c r="AU311" s="529"/>
      <c r="AV311" s="529"/>
      <c r="AW311" s="529"/>
      <c r="AX311" s="530"/>
    </row>
    <row r="312" spans="1:50" ht="15.75" thickBot="1" x14ac:dyDescent="0.3">
      <c r="A312" s="537"/>
      <c r="B312" s="538"/>
      <c r="C312" s="538"/>
      <c r="D312" s="538"/>
      <c r="E312" s="538"/>
      <c r="F312" s="538"/>
      <c r="G312" s="538"/>
      <c r="H312" s="538"/>
      <c r="I312" s="538"/>
      <c r="J312" s="531"/>
      <c r="K312" s="531"/>
      <c r="L312" s="531"/>
      <c r="M312" s="531"/>
      <c r="N312" s="531"/>
      <c r="O312" s="531"/>
      <c r="P312" s="531"/>
      <c r="Q312" s="531"/>
      <c r="R312" s="531"/>
      <c r="S312" s="531"/>
      <c r="T312" s="531"/>
      <c r="U312" s="531"/>
      <c r="V312" s="531"/>
      <c r="W312" s="531"/>
      <c r="X312" s="531"/>
      <c r="Y312" s="532"/>
      <c r="Z312" s="537"/>
      <c r="AA312" s="538"/>
      <c r="AB312" s="538"/>
      <c r="AC312" s="538"/>
      <c r="AD312" s="538"/>
      <c r="AE312" s="538"/>
      <c r="AF312" s="538"/>
      <c r="AG312" s="531"/>
      <c r="AH312" s="531"/>
      <c r="AI312" s="531"/>
      <c r="AJ312" s="531"/>
      <c r="AK312" s="531"/>
      <c r="AL312" s="531"/>
      <c r="AM312" s="531"/>
      <c r="AN312" s="531"/>
      <c r="AO312" s="531"/>
      <c r="AP312" s="531"/>
      <c r="AQ312" s="531"/>
      <c r="AR312" s="531"/>
      <c r="AS312" s="531"/>
      <c r="AT312" s="531"/>
      <c r="AU312" s="531"/>
      <c r="AV312" s="531"/>
      <c r="AW312" s="531"/>
      <c r="AX312" s="532"/>
    </row>
    <row r="313" spans="1:50" x14ac:dyDescent="0.25">
      <c r="A313" s="524"/>
      <c r="B313" s="525"/>
      <c r="C313" s="525"/>
      <c r="D313" s="525"/>
      <c r="E313" s="525"/>
      <c r="F313" s="525"/>
      <c r="G313" s="525"/>
      <c r="H313" s="526" t="str">
        <f>IF(A314="","",LOOKUP(A314,BoonRef!$A$2:$A$430,BoonRef!$C$2:$C$430))</f>
        <v/>
      </c>
      <c r="I313" s="526"/>
      <c r="J313" s="527"/>
      <c r="K313" s="527"/>
      <c r="L313" s="527"/>
      <c r="M313" s="527"/>
      <c r="N313" s="527"/>
      <c r="O313" s="527"/>
      <c r="P313" s="527"/>
      <c r="Q313" s="527"/>
      <c r="R313" s="527"/>
      <c r="S313" s="527"/>
      <c r="T313" s="527"/>
      <c r="U313" s="527"/>
      <c r="V313" s="527"/>
      <c r="W313" s="527"/>
      <c r="X313" s="527"/>
      <c r="Y313" s="528"/>
      <c r="Z313" s="524"/>
      <c r="AA313" s="525"/>
      <c r="AB313" s="525"/>
      <c r="AC313" s="525"/>
      <c r="AD313" s="525"/>
      <c r="AE313" s="526" t="str">
        <f>IF(Z314="","",LOOKUP(Z314,KanckRef!$A$2:$A$170,KanckRef!$E$2:$E$170))</f>
        <v/>
      </c>
      <c r="AF313" s="526"/>
      <c r="AG313" s="527"/>
      <c r="AH313" s="527"/>
      <c r="AI313" s="527"/>
      <c r="AJ313" s="527"/>
      <c r="AK313" s="527"/>
      <c r="AL313" s="527"/>
      <c r="AM313" s="527"/>
      <c r="AN313" s="527"/>
      <c r="AO313" s="527"/>
      <c r="AP313" s="527"/>
      <c r="AQ313" s="527"/>
      <c r="AR313" s="527"/>
      <c r="AS313" s="527"/>
      <c r="AT313" s="527"/>
      <c r="AU313" s="527"/>
      <c r="AV313" s="527"/>
      <c r="AW313" s="527"/>
      <c r="AX313" s="528"/>
    </row>
    <row r="314" spans="1:50" x14ac:dyDescent="0.25">
      <c r="A314" s="533"/>
      <c r="B314" s="534"/>
      <c r="C314" s="534"/>
      <c r="D314" s="534"/>
      <c r="E314" s="534"/>
      <c r="F314" s="534"/>
      <c r="G314" s="534"/>
      <c r="H314" s="535" t="str">
        <f>IF(A314="","",LOOKUP(A314,BoonRef!$A$2:$A$430,BoonRef!$P$2:$P$430))</f>
        <v/>
      </c>
      <c r="I314" s="535"/>
      <c r="J314" s="529"/>
      <c r="K314" s="529"/>
      <c r="L314" s="529"/>
      <c r="M314" s="529"/>
      <c r="N314" s="529"/>
      <c r="O314" s="529"/>
      <c r="P314" s="529"/>
      <c r="Q314" s="529"/>
      <c r="R314" s="529"/>
      <c r="S314" s="529"/>
      <c r="T314" s="529"/>
      <c r="U314" s="529"/>
      <c r="V314" s="529"/>
      <c r="W314" s="529"/>
      <c r="X314" s="529"/>
      <c r="Y314" s="530"/>
      <c r="Z314" s="533"/>
      <c r="AA314" s="534"/>
      <c r="AB314" s="534"/>
      <c r="AC314" s="534"/>
      <c r="AD314" s="534"/>
      <c r="AE314" s="535" t="str">
        <f>IF(Z314="","",LOOKUP(Z314,KanckRef!$A$2:$A$170,KanckRef!$F$2:$F$170))</f>
        <v/>
      </c>
      <c r="AF314" s="535"/>
      <c r="AG314" s="529"/>
      <c r="AH314" s="529"/>
      <c r="AI314" s="529"/>
      <c r="AJ314" s="529"/>
      <c r="AK314" s="529"/>
      <c r="AL314" s="529"/>
      <c r="AM314" s="529"/>
      <c r="AN314" s="529"/>
      <c r="AO314" s="529"/>
      <c r="AP314" s="529"/>
      <c r="AQ314" s="529"/>
      <c r="AR314" s="529"/>
      <c r="AS314" s="529"/>
      <c r="AT314" s="529"/>
      <c r="AU314" s="529"/>
      <c r="AV314" s="529"/>
      <c r="AW314" s="529"/>
      <c r="AX314" s="530"/>
    </row>
    <row r="315" spans="1:50" ht="15" customHeight="1" x14ac:dyDescent="0.25">
      <c r="A315" s="533"/>
      <c r="B315" s="534"/>
      <c r="C315" s="534"/>
      <c r="D315" s="534"/>
      <c r="E315" s="534"/>
      <c r="F315" s="534"/>
      <c r="G315" s="534"/>
      <c r="H315" s="535" t="str">
        <f>IF(A314="","",LOOKUP(A314,BoonRef!$A$2:$A$430,BoonRef!$Q$2:$Q$430))</f>
        <v/>
      </c>
      <c r="I315" s="535"/>
      <c r="J315" s="529"/>
      <c r="K315" s="529"/>
      <c r="L315" s="529"/>
      <c r="M315" s="529"/>
      <c r="N315" s="529"/>
      <c r="O315" s="529"/>
      <c r="P315" s="529"/>
      <c r="Q315" s="529"/>
      <c r="R315" s="529"/>
      <c r="S315" s="529"/>
      <c r="T315" s="529"/>
      <c r="U315" s="529"/>
      <c r="V315" s="529"/>
      <c r="W315" s="529"/>
      <c r="X315" s="529"/>
      <c r="Y315" s="530"/>
      <c r="Z315" s="533"/>
      <c r="AA315" s="534"/>
      <c r="AB315" s="534"/>
      <c r="AC315" s="534"/>
      <c r="AD315" s="534"/>
      <c r="AE315" s="535"/>
      <c r="AF315" s="535"/>
      <c r="AG315" s="529"/>
      <c r="AH315" s="529"/>
      <c r="AI315" s="529"/>
      <c r="AJ315" s="529"/>
      <c r="AK315" s="529"/>
      <c r="AL315" s="529"/>
      <c r="AM315" s="529"/>
      <c r="AN315" s="529"/>
      <c r="AO315" s="529"/>
      <c r="AP315" s="529"/>
      <c r="AQ315" s="529"/>
      <c r="AR315" s="529"/>
      <c r="AS315" s="529"/>
      <c r="AT315" s="529"/>
      <c r="AU315" s="529"/>
      <c r="AV315" s="529"/>
      <c r="AW315" s="529"/>
      <c r="AX315" s="530"/>
    </row>
    <row r="316" spans="1:50" ht="15" customHeight="1" x14ac:dyDescent="0.25">
      <c r="A316" s="536" t="str">
        <f>IF(A314="","",LOOKUP(A314,BoonRef!$A$2:$A$430,BoonRef!$O$2:$O$430))</f>
        <v/>
      </c>
      <c r="B316" s="535"/>
      <c r="C316" s="535"/>
      <c r="D316" s="535"/>
      <c r="E316" s="535"/>
      <c r="F316" s="535"/>
      <c r="G316" s="535"/>
      <c r="H316" s="535"/>
      <c r="I316" s="535"/>
      <c r="J316" s="529"/>
      <c r="K316" s="529"/>
      <c r="L316" s="529"/>
      <c r="M316" s="529"/>
      <c r="N316" s="529"/>
      <c r="O316" s="529"/>
      <c r="P316" s="529"/>
      <c r="Q316" s="529"/>
      <c r="R316" s="529"/>
      <c r="S316" s="529"/>
      <c r="T316" s="529"/>
      <c r="U316" s="529"/>
      <c r="V316" s="529"/>
      <c r="W316" s="529"/>
      <c r="X316" s="529"/>
      <c r="Y316" s="530"/>
      <c r="Z316" s="536" t="str">
        <f>IF(Z314="","",LOOKUP(Z314,KanckRef!$A$2:$A$170,KanckRef!$D$2:$D$170))</f>
        <v/>
      </c>
      <c r="AA316" s="535"/>
      <c r="AB316" s="535"/>
      <c r="AC316" s="535"/>
      <c r="AD316" s="535"/>
      <c r="AE316" s="535"/>
      <c r="AF316" s="535"/>
      <c r="AG316" s="529"/>
      <c r="AH316" s="529"/>
      <c r="AI316" s="529"/>
      <c r="AJ316" s="529"/>
      <c r="AK316" s="529"/>
      <c r="AL316" s="529"/>
      <c r="AM316" s="529"/>
      <c r="AN316" s="529"/>
      <c r="AO316" s="529"/>
      <c r="AP316" s="529"/>
      <c r="AQ316" s="529"/>
      <c r="AR316" s="529"/>
      <c r="AS316" s="529"/>
      <c r="AT316" s="529"/>
      <c r="AU316" s="529"/>
      <c r="AV316" s="529"/>
      <c r="AW316" s="529"/>
      <c r="AX316" s="530"/>
    </row>
    <row r="317" spans="1:50" x14ac:dyDescent="0.25">
      <c r="A317" s="536" t="str">
        <f>IF(A314="","",LOOKUP(A314,BoonRef!$A$2:$A$430,BoonRef!$N$2:$N$430))</f>
        <v/>
      </c>
      <c r="B317" s="535"/>
      <c r="C317" s="535"/>
      <c r="D317" s="535"/>
      <c r="E317" s="535"/>
      <c r="F317" s="535"/>
      <c r="G317" s="535"/>
      <c r="H317" s="535"/>
      <c r="I317" s="535"/>
      <c r="J317" s="529"/>
      <c r="K317" s="529"/>
      <c r="L317" s="529"/>
      <c r="M317" s="529"/>
      <c r="N317" s="529"/>
      <c r="O317" s="529"/>
      <c r="P317" s="529"/>
      <c r="Q317" s="529"/>
      <c r="R317" s="529"/>
      <c r="S317" s="529"/>
      <c r="T317" s="529"/>
      <c r="U317" s="529"/>
      <c r="V317" s="529"/>
      <c r="W317" s="529"/>
      <c r="X317" s="529"/>
      <c r="Y317" s="530"/>
      <c r="Z317" s="536"/>
      <c r="AA317" s="535"/>
      <c r="AB317" s="535"/>
      <c r="AC317" s="535"/>
      <c r="AD317" s="535"/>
      <c r="AE317" s="535"/>
      <c r="AF317" s="535"/>
      <c r="AG317" s="529"/>
      <c r="AH317" s="529"/>
      <c r="AI317" s="529"/>
      <c r="AJ317" s="529"/>
      <c r="AK317" s="529"/>
      <c r="AL317" s="529"/>
      <c r="AM317" s="529"/>
      <c r="AN317" s="529"/>
      <c r="AO317" s="529"/>
      <c r="AP317" s="529"/>
      <c r="AQ317" s="529"/>
      <c r="AR317" s="529"/>
      <c r="AS317" s="529"/>
      <c r="AT317" s="529"/>
      <c r="AU317" s="529"/>
      <c r="AV317" s="529"/>
      <c r="AW317" s="529"/>
      <c r="AX317" s="530"/>
    </row>
    <row r="318" spans="1:50" ht="15.75" thickBot="1" x14ac:dyDescent="0.3">
      <c r="A318" s="537"/>
      <c r="B318" s="538"/>
      <c r="C318" s="538"/>
      <c r="D318" s="538"/>
      <c r="E318" s="538"/>
      <c r="F318" s="538"/>
      <c r="G318" s="538"/>
      <c r="H318" s="538"/>
      <c r="I318" s="538"/>
      <c r="J318" s="531"/>
      <c r="K318" s="531"/>
      <c r="L318" s="531"/>
      <c r="M318" s="531"/>
      <c r="N318" s="531"/>
      <c r="O318" s="531"/>
      <c r="P318" s="531"/>
      <c r="Q318" s="531"/>
      <c r="R318" s="531"/>
      <c r="S318" s="531"/>
      <c r="T318" s="531"/>
      <c r="U318" s="531"/>
      <c r="V318" s="531"/>
      <c r="W318" s="531"/>
      <c r="X318" s="531"/>
      <c r="Y318" s="532"/>
      <c r="Z318" s="537"/>
      <c r="AA318" s="538"/>
      <c r="AB318" s="538"/>
      <c r="AC318" s="538"/>
      <c r="AD318" s="538"/>
      <c r="AE318" s="538"/>
      <c r="AF318" s="538"/>
      <c r="AG318" s="531"/>
      <c r="AH318" s="531"/>
      <c r="AI318" s="531"/>
      <c r="AJ318" s="531"/>
      <c r="AK318" s="531"/>
      <c r="AL318" s="531"/>
      <c r="AM318" s="531"/>
      <c r="AN318" s="531"/>
      <c r="AO318" s="531"/>
      <c r="AP318" s="531"/>
      <c r="AQ318" s="531"/>
      <c r="AR318" s="531"/>
      <c r="AS318" s="531"/>
      <c r="AT318" s="531"/>
      <c r="AU318" s="531"/>
      <c r="AV318" s="531"/>
      <c r="AW318" s="531"/>
      <c r="AX318" s="532"/>
    </row>
    <row r="319" spans="1:50" x14ac:dyDescent="0.25">
      <c r="A319" s="524"/>
      <c r="B319" s="525"/>
      <c r="C319" s="525"/>
      <c r="D319" s="525"/>
      <c r="E319" s="525"/>
      <c r="F319" s="525"/>
      <c r="G319" s="525"/>
      <c r="H319" s="526" t="str">
        <f>IF(A320="","",LOOKUP(A320,BoonRef!$A$2:$A$430,BoonRef!$C$2:$C$430))</f>
        <v/>
      </c>
      <c r="I319" s="526"/>
      <c r="J319" s="527"/>
      <c r="K319" s="527"/>
      <c r="L319" s="527"/>
      <c r="M319" s="527"/>
      <c r="N319" s="527"/>
      <c r="O319" s="527"/>
      <c r="P319" s="527"/>
      <c r="Q319" s="527"/>
      <c r="R319" s="527"/>
      <c r="S319" s="527"/>
      <c r="T319" s="527"/>
      <c r="U319" s="527"/>
      <c r="V319" s="527"/>
      <c r="W319" s="527"/>
      <c r="X319" s="527"/>
      <c r="Y319" s="528"/>
      <c r="Z319" s="524"/>
      <c r="AA319" s="525"/>
      <c r="AB319" s="525"/>
      <c r="AC319" s="525"/>
      <c r="AD319" s="525"/>
      <c r="AE319" s="526" t="str">
        <f>IF(Z320="","",LOOKUP(Z320,KanckRef!$A$2:$A$170,KanckRef!$E$2:$E$170))</f>
        <v/>
      </c>
      <c r="AF319" s="526"/>
      <c r="AG319" s="527"/>
      <c r="AH319" s="527"/>
      <c r="AI319" s="527"/>
      <c r="AJ319" s="527"/>
      <c r="AK319" s="527"/>
      <c r="AL319" s="527"/>
      <c r="AM319" s="527"/>
      <c r="AN319" s="527"/>
      <c r="AO319" s="527"/>
      <c r="AP319" s="527"/>
      <c r="AQ319" s="527"/>
      <c r="AR319" s="527"/>
      <c r="AS319" s="527"/>
      <c r="AT319" s="527"/>
      <c r="AU319" s="527"/>
      <c r="AV319" s="527"/>
      <c r="AW319" s="527"/>
      <c r="AX319" s="528"/>
    </row>
    <row r="320" spans="1:50" ht="15" customHeight="1" x14ac:dyDescent="0.25">
      <c r="A320" s="533"/>
      <c r="B320" s="534"/>
      <c r="C320" s="534"/>
      <c r="D320" s="534"/>
      <c r="E320" s="534"/>
      <c r="F320" s="534"/>
      <c r="G320" s="534"/>
      <c r="H320" s="535" t="str">
        <f>IF(A320="","",LOOKUP(A320,BoonRef!$A$2:$A$430,BoonRef!$P$2:$P$430))</f>
        <v/>
      </c>
      <c r="I320" s="535"/>
      <c r="J320" s="529"/>
      <c r="K320" s="529"/>
      <c r="L320" s="529"/>
      <c r="M320" s="529"/>
      <c r="N320" s="529"/>
      <c r="O320" s="529"/>
      <c r="P320" s="529"/>
      <c r="Q320" s="529"/>
      <c r="R320" s="529"/>
      <c r="S320" s="529"/>
      <c r="T320" s="529"/>
      <c r="U320" s="529"/>
      <c r="V320" s="529"/>
      <c r="W320" s="529"/>
      <c r="X320" s="529"/>
      <c r="Y320" s="530"/>
      <c r="Z320" s="533"/>
      <c r="AA320" s="534"/>
      <c r="AB320" s="534"/>
      <c r="AC320" s="534"/>
      <c r="AD320" s="534"/>
      <c r="AE320" s="535" t="str">
        <f>IF(Z320="","",LOOKUP(Z320,KanckRef!$A$2:$A$170,KanckRef!$F$2:$F$170))</f>
        <v/>
      </c>
      <c r="AF320" s="535"/>
      <c r="AG320" s="529"/>
      <c r="AH320" s="529"/>
      <c r="AI320" s="529"/>
      <c r="AJ320" s="529"/>
      <c r="AK320" s="529"/>
      <c r="AL320" s="529"/>
      <c r="AM320" s="529"/>
      <c r="AN320" s="529"/>
      <c r="AO320" s="529"/>
      <c r="AP320" s="529"/>
      <c r="AQ320" s="529"/>
      <c r="AR320" s="529"/>
      <c r="AS320" s="529"/>
      <c r="AT320" s="529"/>
      <c r="AU320" s="529"/>
      <c r="AV320" s="529"/>
      <c r="AW320" s="529"/>
      <c r="AX320" s="530"/>
    </row>
    <row r="321" spans="1:50" ht="15" customHeight="1" x14ac:dyDescent="0.25">
      <c r="A321" s="533"/>
      <c r="B321" s="534"/>
      <c r="C321" s="534"/>
      <c r="D321" s="534"/>
      <c r="E321" s="534"/>
      <c r="F321" s="534"/>
      <c r="G321" s="534"/>
      <c r="H321" s="535" t="str">
        <f>IF(A320="","",LOOKUP(A320,BoonRef!$A$2:$A$430,BoonRef!$Q$2:$Q$430))</f>
        <v/>
      </c>
      <c r="I321" s="535"/>
      <c r="J321" s="529"/>
      <c r="K321" s="529"/>
      <c r="L321" s="529"/>
      <c r="M321" s="529"/>
      <c r="N321" s="529"/>
      <c r="O321" s="529"/>
      <c r="P321" s="529"/>
      <c r="Q321" s="529"/>
      <c r="R321" s="529"/>
      <c r="S321" s="529"/>
      <c r="T321" s="529"/>
      <c r="U321" s="529"/>
      <c r="V321" s="529"/>
      <c r="W321" s="529"/>
      <c r="X321" s="529"/>
      <c r="Y321" s="530"/>
      <c r="Z321" s="533"/>
      <c r="AA321" s="534"/>
      <c r="AB321" s="534"/>
      <c r="AC321" s="534"/>
      <c r="AD321" s="534"/>
      <c r="AE321" s="535"/>
      <c r="AF321" s="535"/>
      <c r="AG321" s="529"/>
      <c r="AH321" s="529"/>
      <c r="AI321" s="529"/>
      <c r="AJ321" s="529"/>
      <c r="AK321" s="529"/>
      <c r="AL321" s="529"/>
      <c r="AM321" s="529"/>
      <c r="AN321" s="529"/>
      <c r="AO321" s="529"/>
      <c r="AP321" s="529"/>
      <c r="AQ321" s="529"/>
      <c r="AR321" s="529"/>
      <c r="AS321" s="529"/>
      <c r="AT321" s="529"/>
      <c r="AU321" s="529"/>
      <c r="AV321" s="529"/>
      <c r="AW321" s="529"/>
      <c r="AX321" s="530"/>
    </row>
    <row r="322" spans="1:50" x14ac:dyDescent="0.25">
      <c r="A322" s="536" t="str">
        <f>IF(A320="","",LOOKUP(A320,BoonRef!$A$2:$A$430,BoonRef!$O$2:$O$430))</f>
        <v/>
      </c>
      <c r="B322" s="535"/>
      <c r="C322" s="535"/>
      <c r="D322" s="535"/>
      <c r="E322" s="535"/>
      <c r="F322" s="535"/>
      <c r="G322" s="535"/>
      <c r="H322" s="535"/>
      <c r="I322" s="535"/>
      <c r="J322" s="529"/>
      <c r="K322" s="529"/>
      <c r="L322" s="529"/>
      <c r="M322" s="529"/>
      <c r="N322" s="529"/>
      <c r="O322" s="529"/>
      <c r="P322" s="529"/>
      <c r="Q322" s="529"/>
      <c r="R322" s="529"/>
      <c r="S322" s="529"/>
      <c r="T322" s="529"/>
      <c r="U322" s="529"/>
      <c r="V322" s="529"/>
      <c r="W322" s="529"/>
      <c r="X322" s="529"/>
      <c r="Y322" s="530"/>
      <c r="Z322" s="536" t="str">
        <f>IF(Z320="","",LOOKUP(Z320,KanckRef!$A$2:$A$170,KanckRef!$D$2:$D$170))</f>
        <v/>
      </c>
      <c r="AA322" s="535"/>
      <c r="AB322" s="535"/>
      <c r="AC322" s="535"/>
      <c r="AD322" s="535"/>
      <c r="AE322" s="535"/>
      <c r="AF322" s="535"/>
      <c r="AG322" s="529"/>
      <c r="AH322" s="529"/>
      <c r="AI322" s="529"/>
      <c r="AJ322" s="529"/>
      <c r="AK322" s="529"/>
      <c r="AL322" s="529"/>
      <c r="AM322" s="529"/>
      <c r="AN322" s="529"/>
      <c r="AO322" s="529"/>
      <c r="AP322" s="529"/>
      <c r="AQ322" s="529"/>
      <c r="AR322" s="529"/>
      <c r="AS322" s="529"/>
      <c r="AT322" s="529"/>
      <c r="AU322" s="529"/>
      <c r="AV322" s="529"/>
      <c r="AW322" s="529"/>
      <c r="AX322" s="530"/>
    </row>
    <row r="323" spans="1:50" x14ac:dyDescent="0.25">
      <c r="A323" s="536" t="str">
        <f>IF(A320="","",LOOKUP(A320,BoonRef!$A$2:$A$430,BoonRef!$N$2:$N$430))</f>
        <v/>
      </c>
      <c r="B323" s="535"/>
      <c r="C323" s="535"/>
      <c r="D323" s="535"/>
      <c r="E323" s="535"/>
      <c r="F323" s="535"/>
      <c r="G323" s="535"/>
      <c r="H323" s="535"/>
      <c r="I323" s="535"/>
      <c r="J323" s="529"/>
      <c r="K323" s="529"/>
      <c r="L323" s="529"/>
      <c r="M323" s="529"/>
      <c r="N323" s="529"/>
      <c r="O323" s="529"/>
      <c r="P323" s="529"/>
      <c r="Q323" s="529"/>
      <c r="R323" s="529"/>
      <c r="S323" s="529"/>
      <c r="T323" s="529"/>
      <c r="U323" s="529"/>
      <c r="V323" s="529"/>
      <c r="W323" s="529"/>
      <c r="X323" s="529"/>
      <c r="Y323" s="530"/>
      <c r="Z323" s="536"/>
      <c r="AA323" s="535"/>
      <c r="AB323" s="535"/>
      <c r="AC323" s="535"/>
      <c r="AD323" s="535"/>
      <c r="AE323" s="535"/>
      <c r="AF323" s="535"/>
      <c r="AG323" s="529"/>
      <c r="AH323" s="529"/>
      <c r="AI323" s="529"/>
      <c r="AJ323" s="529"/>
      <c r="AK323" s="529"/>
      <c r="AL323" s="529"/>
      <c r="AM323" s="529"/>
      <c r="AN323" s="529"/>
      <c r="AO323" s="529"/>
      <c r="AP323" s="529"/>
      <c r="AQ323" s="529"/>
      <c r="AR323" s="529"/>
      <c r="AS323" s="529"/>
      <c r="AT323" s="529"/>
      <c r="AU323" s="529"/>
      <c r="AV323" s="529"/>
      <c r="AW323" s="529"/>
      <c r="AX323" s="530"/>
    </row>
    <row r="324" spans="1:50" ht="15.75" thickBot="1" x14ac:dyDescent="0.3">
      <c r="A324" s="537"/>
      <c r="B324" s="538"/>
      <c r="C324" s="538"/>
      <c r="D324" s="538"/>
      <c r="E324" s="538"/>
      <c r="F324" s="538"/>
      <c r="G324" s="538"/>
      <c r="H324" s="538"/>
      <c r="I324" s="538"/>
      <c r="J324" s="531"/>
      <c r="K324" s="531"/>
      <c r="L324" s="531"/>
      <c r="M324" s="531"/>
      <c r="N324" s="531"/>
      <c r="O324" s="531"/>
      <c r="P324" s="531"/>
      <c r="Q324" s="531"/>
      <c r="R324" s="531"/>
      <c r="S324" s="531"/>
      <c r="T324" s="531"/>
      <c r="U324" s="531"/>
      <c r="V324" s="531"/>
      <c r="W324" s="531"/>
      <c r="X324" s="531"/>
      <c r="Y324" s="532"/>
      <c r="Z324" s="537"/>
      <c r="AA324" s="538"/>
      <c r="AB324" s="538"/>
      <c r="AC324" s="538"/>
      <c r="AD324" s="538"/>
      <c r="AE324" s="538"/>
      <c r="AF324" s="538"/>
      <c r="AG324" s="531"/>
      <c r="AH324" s="531"/>
      <c r="AI324" s="531"/>
      <c r="AJ324" s="531"/>
      <c r="AK324" s="531"/>
      <c r="AL324" s="531"/>
      <c r="AM324" s="531"/>
      <c r="AN324" s="531"/>
      <c r="AO324" s="531"/>
      <c r="AP324" s="531"/>
      <c r="AQ324" s="531"/>
      <c r="AR324" s="531"/>
      <c r="AS324" s="531"/>
      <c r="AT324" s="531"/>
      <c r="AU324" s="531"/>
      <c r="AV324" s="531"/>
      <c r="AW324" s="531"/>
      <c r="AX324" s="532"/>
    </row>
    <row r="325" spans="1:50" ht="15" customHeight="1" x14ac:dyDescent="0.25">
      <c r="A325" s="524"/>
      <c r="B325" s="525"/>
      <c r="C325" s="525"/>
      <c r="D325" s="525"/>
      <c r="E325" s="525"/>
      <c r="F325" s="525"/>
      <c r="G325" s="525"/>
      <c r="H325" s="526" t="str">
        <f>IF(A326="","",LOOKUP(A326,BoonRef!$A$2:$A$430,BoonRef!$C$2:$C$430))</f>
        <v/>
      </c>
      <c r="I325" s="526"/>
      <c r="J325" s="527"/>
      <c r="K325" s="527"/>
      <c r="L325" s="527"/>
      <c r="M325" s="527"/>
      <c r="N325" s="527"/>
      <c r="O325" s="527"/>
      <c r="P325" s="527"/>
      <c r="Q325" s="527"/>
      <c r="R325" s="527"/>
      <c r="S325" s="527"/>
      <c r="T325" s="527"/>
      <c r="U325" s="527"/>
      <c r="V325" s="527"/>
      <c r="W325" s="527"/>
      <c r="X325" s="527"/>
      <c r="Y325" s="528"/>
      <c r="Z325" s="524"/>
      <c r="AA325" s="525"/>
      <c r="AB325" s="525"/>
      <c r="AC325" s="525"/>
      <c r="AD325" s="525"/>
      <c r="AE325" s="526" t="str">
        <f>IF(Z326="","",LOOKUP(Z326,KanckRef!$A$2:$A$170,KanckRef!$E$2:$E$170))</f>
        <v/>
      </c>
      <c r="AF325" s="526"/>
      <c r="AG325" s="527"/>
      <c r="AH325" s="527"/>
      <c r="AI325" s="527"/>
      <c r="AJ325" s="527"/>
      <c r="AK325" s="527"/>
      <c r="AL325" s="527"/>
      <c r="AM325" s="527"/>
      <c r="AN325" s="527"/>
      <c r="AO325" s="527"/>
      <c r="AP325" s="527"/>
      <c r="AQ325" s="527"/>
      <c r="AR325" s="527"/>
      <c r="AS325" s="527"/>
      <c r="AT325" s="527"/>
      <c r="AU325" s="527"/>
      <c r="AV325" s="527"/>
      <c r="AW325" s="527"/>
      <c r="AX325" s="528"/>
    </row>
    <row r="326" spans="1:50" ht="15" customHeight="1" x14ac:dyDescent="0.25">
      <c r="A326" s="533"/>
      <c r="B326" s="534"/>
      <c r="C326" s="534"/>
      <c r="D326" s="534"/>
      <c r="E326" s="534"/>
      <c r="F326" s="534"/>
      <c r="G326" s="534"/>
      <c r="H326" s="535" t="str">
        <f>IF(A326="","",LOOKUP(A326,BoonRef!$A$2:$A$430,BoonRef!$P$2:$P$430))</f>
        <v/>
      </c>
      <c r="I326" s="535"/>
      <c r="J326" s="529"/>
      <c r="K326" s="529"/>
      <c r="L326" s="529"/>
      <c r="M326" s="529"/>
      <c r="N326" s="529"/>
      <c r="O326" s="529"/>
      <c r="P326" s="529"/>
      <c r="Q326" s="529"/>
      <c r="R326" s="529"/>
      <c r="S326" s="529"/>
      <c r="T326" s="529"/>
      <c r="U326" s="529"/>
      <c r="V326" s="529"/>
      <c r="W326" s="529"/>
      <c r="X326" s="529"/>
      <c r="Y326" s="530"/>
      <c r="Z326" s="533"/>
      <c r="AA326" s="534"/>
      <c r="AB326" s="534"/>
      <c r="AC326" s="534"/>
      <c r="AD326" s="534"/>
      <c r="AE326" s="535" t="str">
        <f>IF(Z326="","",LOOKUP(Z326,KanckRef!$A$2:$A$170,KanckRef!$F$2:$F$170))</f>
        <v/>
      </c>
      <c r="AF326" s="535"/>
      <c r="AG326" s="529"/>
      <c r="AH326" s="529"/>
      <c r="AI326" s="529"/>
      <c r="AJ326" s="529"/>
      <c r="AK326" s="529"/>
      <c r="AL326" s="529"/>
      <c r="AM326" s="529"/>
      <c r="AN326" s="529"/>
      <c r="AO326" s="529"/>
      <c r="AP326" s="529"/>
      <c r="AQ326" s="529"/>
      <c r="AR326" s="529"/>
      <c r="AS326" s="529"/>
      <c r="AT326" s="529"/>
      <c r="AU326" s="529"/>
      <c r="AV326" s="529"/>
      <c r="AW326" s="529"/>
      <c r="AX326" s="530"/>
    </row>
    <row r="327" spans="1:50" x14ac:dyDescent="0.25">
      <c r="A327" s="533"/>
      <c r="B327" s="534"/>
      <c r="C327" s="534"/>
      <c r="D327" s="534"/>
      <c r="E327" s="534"/>
      <c r="F327" s="534"/>
      <c r="G327" s="534"/>
      <c r="H327" s="535" t="str">
        <f>IF(A326="","",LOOKUP(A326,BoonRef!$A$2:$A$430,BoonRef!$Q$2:$Q$430))</f>
        <v/>
      </c>
      <c r="I327" s="535"/>
      <c r="J327" s="529"/>
      <c r="K327" s="529"/>
      <c r="L327" s="529"/>
      <c r="M327" s="529"/>
      <c r="N327" s="529"/>
      <c r="O327" s="529"/>
      <c r="P327" s="529"/>
      <c r="Q327" s="529"/>
      <c r="R327" s="529"/>
      <c r="S327" s="529"/>
      <c r="T327" s="529"/>
      <c r="U327" s="529"/>
      <c r="V327" s="529"/>
      <c r="W327" s="529"/>
      <c r="X327" s="529"/>
      <c r="Y327" s="530"/>
      <c r="Z327" s="533"/>
      <c r="AA327" s="534"/>
      <c r="AB327" s="534"/>
      <c r="AC327" s="534"/>
      <c r="AD327" s="534"/>
      <c r="AE327" s="535"/>
      <c r="AF327" s="535"/>
      <c r="AG327" s="529"/>
      <c r="AH327" s="529"/>
      <c r="AI327" s="529"/>
      <c r="AJ327" s="529"/>
      <c r="AK327" s="529"/>
      <c r="AL327" s="529"/>
      <c r="AM327" s="529"/>
      <c r="AN327" s="529"/>
      <c r="AO327" s="529"/>
      <c r="AP327" s="529"/>
      <c r="AQ327" s="529"/>
      <c r="AR327" s="529"/>
      <c r="AS327" s="529"/>
      <c r="AT327" s="529"/>
      <c r="AU327" s="529"/>
      <c r="AV327" s="529"/>
      <c r="AW327" s="529"/>
      <c r="AX327" s="530"/>
    </row>
    <row r="328" spans="1:50" x14ac:dyDescent="0.25">
      <c r="A328" s="536" t="str">
        <f>IF(A326="","",LOOKUP(A326,BoonRef!$A$2:$A$430,BoonRef!$O$2:$O$430))</f>
        <v/>
      </c>
      <c r="B328" s="535"/>
      <c r="C328" s="535"/>
      <c r="D328" s="535"/>
      <c r="E328" s="535"/>
      <c r="F328" s="535"/>
      <c r="G328" s="535"/>
      <c r="H328" s="535"/>
      <c r="I328" s="535"/>
      <c r="J328" s="529"/>
      <c r="K328" s="529"/>
      <c r="L328" s="529"/>
      <c r="M328" s="529"/>
      <c r="N328" s="529"/>
      <c r="O328" s="529"/>
      <c r="P328" s="529"/>
      <c r="Q328" s="529"/>
      <c r="R328" s="529"/>
      <c r="S328" s="529"/>
      <c r="T328" s="529"/>
      <c r="U328" s="529"/>
      <c r="V328" s="529"/>
      <c r="W328" s="529"/>
      <c r="X328" s="529"/>
      <c r="Y328" s="530"/>
      <c r="Z328" s="536" t="str">
        <f>IF(Z326="","",LOOKUP(Z326,KanckRef!$A$2:$A$170,KanckRef!$D$2:$D$170))</f>
        <v/>
      </c>
      <c r="AA328" s="535"/>
      <c r="AB328" s="535"/>
      <c r="AC328" s="535"/>
      <c r="AD328" s="535"/>
      <c r="AE328" s="535"/>
      <c r="AF328" s="535"/>
      <c r="AG328" s="529"/>
      <c r="AH328" s="529"/>
      <c r="AI328" s="529"/>
      <c r="AJ328" s="529"/>
      <c r="AK328" s="529"/>
      <c r="AL328" s="529"/>
      <c r="AM328" s="529"/>
      <c r="AN328" s="529"/>
      <c r="AO328" s="529"/>
      <c r="AP328" s="529"/>
      <c r="AQ328" s="529"/>
      <c r="AR328" s="529"/>
      <c r="AS328" s="529"/>
      <c r="AT328" s="529"/>
      <c r="AU328" s="529"/>
      <c r="AV328" s="529"/>
      <c r="AW328" s="529"/>
      <c r="AX328" s="530"/>
    </row>
    <row r="329" spans="1:50" x14ac:dyDescent="0.25">
      <c r="A329" s="536" t="str">
        <f>IF(A326="","",LOOKUP(A326,BoonRef!$A$2:$A$430,BoonRef!$N$2:$N$430))</f>
        <v/>
      </c>
      <c r="B329" s="535"/>
      <c r="C329" s="535"/>
      <c r="D329" s="535"/>
      <c r="E329" s="535"/>
      <c r="F329" s="535"/>
      <c r="G329" s="535"/>
      <c r="H329" s="535"/>
      <c r="I329" s="535"/>
      <c r="J329" s="529"/>
      <c r="K329" s="529"/>
      <c r="L329" s="529"/>
      <c r="M329" s="529"/>
      <c r="N329" s="529"/>
      <c r="O329" s="529"/>
      <c r="P329" s="529"/>
      <c r="Q329" s="529"/>
      <c r="R329" s="529"/>
      <c r="S329" s="529"/>
      <c r="T329" s="529"/>
      <c r="U329" s="529"/>
      <c r="V329" s="529"/>
      <c r="W329" s="529"/>
      <c r="X329" s="529"/>
      <c r="Y329" s="530"/>
      <c r="Z329" s="536"/>
      <c r="AA329" s="535"/>
      <c r="AB329" s="535"/>
      <c r="AC329" s="535"/>
      <c r="AD329" s="535"/>
      <c r="AE329" s="535"/>
      <c r="AF329" s="535"/>
      <c r="AG329" s="529"/>
      <c r="AH329" s="529"/>
      <c r="AI329" s="529"/>
      <c r="AJ329" s="529"/>
      <c r="AK329" s="529"/>
      <c r="AL329" s="529"/>
      <c r="AM329" s="529"/>
      <c r="AN329" s="529"/>
      <c r="AO329" s="529"/>
      <c r="AP329" s="529"/>
      <c r="AQ329" s="529"/>
      <c r="AR329" s="529"/>
      <c r="AS329" s="529"/>
      <c r="AT329" s="529"/>
      <c r="AU329" s="529"/>
      <c r="AV329" s="529"/>
      <c r="AW329" s="529"/>
      <c r="AX329" s="530"/>
    </row>
    <row r="330" spans="1:50" ht="15" customHeight="1" thickBot="1" x14ac:dyDescent="0.3">
      <c r="A330" s="537"/>
      <c r="B330" s="538"/>
      <c r="C330" s="538"/>
      <c r="D330" s="538"/>
      <c r="E330" s="538"/>
      <c r="F330" s="538"/>
      <c r="G330" s="538"/>
      <c r="H330" s="538"/>
      <c r="I330" s="538"/>
      <c r="J330" s="531"/>
      <c r="K330" s="531"/>
      <c r="L330" s="531"/>
      <c r="M330" s="531"/>
      <c r="N330" s="531"/>
      <c r="O330" s="531"/>
      <c r="P330" s="531"/>
      <c r="Q330" s="531"/>
      <c r="R330" s="531"/>
      <c r="S330" s="531"/>
      <c r="T330" s="531"/>
      <c r="U330" s="531"/>
      <c r="V330" s="531"/>
      <c r="W330" s="531"/>
      <c r="X330" s="531"/>
      <c r="Y330" s="532"/>
      <c r="Z330" s="537"/>
      <c r="AA330" s="538"/>
      <c r="AB330" s="538"/>
      <c r="AC330" s="538"/>
      <c r="AD330" s="538"/>
      <c r="AE330" s="538"/>
      <c r="AF330" s="538"/>
      <c r="AG330" s="531"/>
      <c r="AH330" s="531"/>
      <c r="AI330" s="531"/>
      <c r="AJ330" s="531"/>
      <c r="AK330" s="531"/>
      <c r="AL330" s="531"/>
      <c r="AM330" s="531"/>
      <c r="AN330" s="531"/>
      <c r="AO330" s="531"/>
      <c r="AP330" s="531"/>
      <c r="AQ330" s="531"/>
      <c r="AR330" s="531"/>
      <c r="AS330" s="531"/>
      <c r="AT330" s="531"/>
      <c r="AU330" s="531"/>
      <c r="AV330" s="531"/>
      <c r="AW330" s="531"/>
      <c r="AX330" s="532"/>
    </row>
    <row r="331" spans="1:50" ht="15" customHeight="1" x14ac:dyDescent="0.25">
      <c r="A331" s="524"/>
      <c r="B331" s="525"/>
      <c r="C331" s="525"/>
      <c r="D331" s="525"/>
      <c r="E331" s="525"/>
      <c r="F331" s="525"/>
      <c r="G331" s="525"/>
      <c r="H331" s="526" t="str">
        <f>IF(A332="","",LOOKUP(A332,BoonRef!$A$2:$A$430,BoonRef!$C$2:$C$430))</f>
        <v/>
      </c>
      <c r="I331" s="526"/>
      <c r="J331" s="527"/>
      <c r="K331" s="527"/>
      <c r="L331" s="527"/>
      <c r="M331" s="527"/>
      <c r="N331" s="527"/>
      <c r="O331" s="527"/>
      <c r="P331" s="527"/>
      <c r="Q331" s="527"/>
      <c r="R331" s="527"/>
      <c r="S331" s="527"/>
      <c r="T331" s="527"/>
      <c r="U331" s="527"/>
      <c r="V331" s="527"/>
      <c r="W331" s="527"/>
      <c r="X331" s="527"/>
      <c r="Y331" s="528"/>
      <c r="Z331" s="524"/>
      <c r="AA331" s="525"/>
      <c r="AB331" s="525"/>
      <c r="AC331" s="525"/>
      <c r="AD331" s="525"/>
      <c r="AE331" s="526" t="str">
        <f>IF(Z332="","",LOOKUP(Z332,KanckRef!$A$2:$A$170,KanckRef!$E$2:$E$170))</f>
        <v/>
      </c>
      <c r="AF331" s="526"/>
      <c r="AG331" s="527"/>
      <c r="AH331" s="527"/>
      <c r="AI331" s="527"/>
      <c r="AJ331" s="527"/>
      <c r="AK331" s="527"/>
      <c r="AL331" s="527"/>
      <c r="AM331" s="527"/>
      <c r="AN331" s="527"/>
      <c r="AO331" s="527"/>
      <c r="AP331" s="527"/>
      <c r="AQ331" s="527"/>
      <c r="AR331" s="527"/>
      <c r="AS331" s="527"/>
      <c r="AT331" s="527"/>
      <c r="AU331" s="527"/>
      <c r="AV331" s="527"/>
      <c r="AW331" s="527"/>
      <c r="AX331" s="528"/>
    </row>
    <row r="332" spans="1:50" x14ac:dyDescent="0.25">
      <c r="A332" s="533"/>
      <c r="B332" s="534"/>
      <c r="C332" s="534"/>
      <c r="D332" s="534"/>
      <c r="E332" s="534"/>
      <c r="F332" s="534"/>
      <c r="G332" s="534"/>
      <c r="H332" s="535" t="str">
        <f>IF(A332="","",LOOKUP(A332,BoonRef!$A$2:$A$430,BoonRef!$P$2:$P$430))</f>
        <v/>
      </c>
      <c r="I332" s="535"/>
      <c r="J332" s="529"/>
      <c r="K332" s="529"/>
      <c r="L332" s="529"/>
      <c r="M332" s="529"/>
      <c r="N332" s="529"/>
      <c r="O332" s="529"/>
      <c r="P332" s="529"/>
      <c r="Q332" s="529"/>
      <c r="R332" s="529"/>
      <c r="S332" s="529"/>
      <c r="T332" s="529"/>
      <c r="U332" s="529"/>
      <c r="V332" s="529"/>
      <c r="W332" s="529"/>
      <c r="X332" s="529"/>
      <c r="Y332" s="530"/>
      <c r="Z332" s="533"/>
      <c r="AA332" s="534"/>
      <c r="AB332" s="534"/>
      <c r="AC332" s="534"/>
      <c r="AD332" s="534"/>
      <c r="AE332" s="535" t="str">
        <f>IF(Z332="","",LOOKUP(Z332,KanckRef!$A$2:$A$170,KanckRef!$F$2:$F$170))</f>
        <v/>
      </c>
      <c r="AF332" s="535"/>
      <c r="AG332" s="529"/>
      <c r="AH332" s="529"/>
      <c r="AI332" s="529"/>
      <c r="AJ332" s="529"/>
      <c r="AK332" s="529"/>
      <c r="AL332" s="529"/>
      <c r="AM332" s="529"/>
      <c r="AN332" s="529"/>
      <c r="AO332" s="529"/>
      <c r="AP332" s="529"/>
      <c r="AQ332" s="529"/>
      <c r="AR332" s="529"/>
      <c r="AS332" s="529"/>
      <c r="AT332" s="529"/>
      <c r="AU332" s="529"/>
      <c r="AV332" s="529"/>
      <c r="AW332" s="529"/>
      <c r="AX332" s="530"/>
    </row>
    <row r="333" spans="1:50" x14ac:dyDescent="0.25">
      <c r="A333" s="533"/>
      <c r="B333" s="534"/>
      <c r="C333" s="534"/>
      <c r="D333" s="534"/>
      <c r="E333" s="534"/>
      <c r="F333" s="534"/>
      <c r="G333" s="534"/>
      <c r="H333" s="535" t="str">
        <f>IF(A332="","",LOOKUP(A332,BoonRef!$A$2:$A$430,BoonRef!$Q$2:$Q$430))</f>
        <v/>
      </c>
      <c r="I333" s="535"/>
      <c r="J333" s="529"/>
      <c r="K333" s="529"/>
      <c r="L333" s="529"/>
      <c r="M333" s="529"/>
      <c r="N333" s="529"/>
      <c r="O333" s="529"/>
      <c r="P333" s="529"/>
      <c r="Q333" s="529"/>
      <c r="R333" s="529"/>
      <c r="S333" s="529"/>
      <c r="T333" s="529"/>
      <c r="U333" s="529"/>
      <c r="V333" s="529"/>
      <c r="W333" s="529"/>
      <c r="X333" s="529"/>
      <c r="Y333" s="530"/>
      <c r="Z333" s="533"/>
      <c r="AA333" s="534"/>
      <c r="AB333" s="534"/>
      <c r="AC333" s="534"/>
      <c r="AD333" s="534"/>
      <c r="AE333" s="535"/>
      <c r="AF333" s="535"/>
      <c r="AG333" s="529"/>
      <c r="AH333" s="529"/>
      <c r="AI333" s="529"/>
      <c r="AJ333" s="529"/>
      <c r="AK333" s="529"/>
      <c r="AL333" s="529"/>
      <c r="AM333" s="529"/>
      <c r="AN333" s="529"/>
      <c r="AO333" s="529"/>
      <c r="AP333" s="529"/>
      <c r="AQ333" s="529"/>
      <c r="AR333" s="529"/>
      <c r="AS333" s="529"/>
      <c r="AT333" s="529"/>
      <c r="AU333" s="529"/>
      <c r="AV333" s="529"/>
      <c r="AW333" s="529"/>
      <c r="AX333" s="530"/>
    </row>
    <row r="334" spans="1:50" x14ac:dyDescent="0.25">
      <c r="A334" s="536" t="str">
        <f>IF(A332="","",LOOKUP(A332,BoonRef!$A$2:$A$430,BoonRef!$O$2:$O$430))</f>
        <v/>
      </c>
      <c r="B334" s="535"/>
      <c r="C334" s="535"/>
      <c r="D334" s="535"/>
      <c r="E334" s="535"/>
      <c r="F334" s="535"/>
      <c r="G334" s="535"/>
      <c r="H334" s="535"/>
      <c r="I334" s="535"/>
      <c r="J334" s="529"/>
      <c r="K334" s="529"/>
      <c r="L334" s="529"/>
      <c r="M334" s="529"/>
      <c r="N334" s="529"/>
      <c r="O334" s="529"/>
      <c r="P334" s="529"/>
      <c r="Q334" s="529"/>
      <c r="R334" s="529"/>
      <c r="S334" s="529"/>
      <c r="T334" s="529"/>
      <c r="U334" s="529"/>
      <c r="V334" s="529"/>
      <c r="W334" s="529"/>
      <c r="X334" s="529"/>
      <c r="Y334" s="530"/>
      <c r="Z334" s="536" t="str">
        <f>IF(Z332="","",LOOKUP(Z332,KanckRef!$A$2:$A$170,KanckRef!$D$2:$D$170))</f>
        <v/>
      </c>
      <c r="AA334" s="535"/>
      <c r="AB334" s="535"/>
      <c r="AC334" s="535"/>
      <c r="AD334" s="535"/>
      <c r="AE334" s="535"/>
      <c r="AF334" s="535"/>
      <c r="AG334" s="529"/>
      <c r="AH334" s="529"/>
      <c r="AI334" s="529"/>
      <c r="AJ334" s="529"/>
      <c r="AK334" s="529"/>
      <c r="AL334" s="529"/>
      <c r="AM334" s="529"/>
      <c r="AN334" s="529"/>
      <c r="AO334" s="529"/>
      <c r="AP334" s="529"/>
      <c r="AQ334" s="529"/>
      <c r="AR334" s="529"/>
      <c r="AS334" s="529"/>
      <c r="AT334" s="529"/>
      <c r="AU334" s="529"/>
      <c r="AV334" s="529"/>
      <c r="AW334" s="529"/>
      <c r="AX334" s="530"/>
    </row>
    <row r="335" spans="1:50" ht="15" customHeight="1" x14ac:dyDescent="0.25">
      <c r="A335" s="536" t="str">
        <f>IF(A332="","",LOOKUP(A332,BoonRef!$A$2:$A$430,BoonRef!$N$2:$N$430))</f>
        <v/>
      </c>
      <c r="B335" s="535"/>
      <c r="C335" s="535"/>
      <c r="D335" s="535"/>
      <c r="E335" s="535"/>
      <c r="F335" s="535"/>
      <c r="G335" s="535"/>
      <c r="H335" s="535"/>
      <c r="I335" s="535"/>
      <c r="J335" s="529"/>
      <c r="K335" s="529"/>
      <c r="L335" s="529"/>
      <c r="M335" s="529"/>
      <c r="N335" s="529"/>
      <c r="O335" s="529"/>
      <c r="P335" s="529"/>
      <c r="Q335" s="529"/>
      <c r="R335" s="529"/>
      <c r="S335" s="529"/>
      <c r="T335" s="529"/>
      <c r="U335" s="529"/>
      <c r="V335" s="529"/>
      <c r="W335" s="529"/>
      <c r="X335" s="529"/>
      <c r="Y335" s="530"/>
      <c r="Z335" s="536"/>
      <c r="AA335" s="535"/>
      <c r="AB335" s="535"/>
      <c r="AC335" s="535"/>
      <c r="AD335" s="535"/>
      <c r="AE335" s="535"/>
      <c r="AF335" s="535"/>
      <c r="AG335" s="529"/>
      <c r="AH335" s="529"/>
      <c r="AI335" s="529"/>
      <c r="AJ335" s="529"/>
      <c r="AK335" s="529"/>
      <c r="AL335" s="529"/>
      <c r="AM335" s="529"/>
      <c r="AN335" s="529"/>
      <c r="AO335" s="529"/>
      <c r="AP335" s="529"/>
      <c r="AQ335" s="529"/>
      <c r="AR335" s="529"/>
      <c r="AS335" s="529"/>
      <c r="AT335" s="529"/>
      <c r="AU335" s="529"/>
      <c r="AV335" s="529"/>
      <c r="AW335" s="529"/>
      <c r="AX335" s="530"/>
    </row>
    <row r="336" spans="1:50" ht="15" customHeight="1" thickBot="1" x14ac:dyDescent="0.3">
      <c r="A336" s="537"/>
      <c r="B336" s="538"/>
      <c r="C336" s="538"/>
      <c r="D336" s="538"/>
      <c r="E336" s="538"/>
      <c r="F336" s="538"/>
      <c r="G336" s="538"/>
      <c r="H336" s="538"/>
      <c r="I336" s="538"/>
      <c r="J336" s="531"/>
      <c r="K336" s="531"/>
      <c r="L336" s="531"/>
      <c r="M336" s="531"/>
      <c r="N336" s="531"/>
      <c r="O336" s="531"/>
      <c r="P336" s="531"/>
      <c r="Q336" s="531"/>
      <c r="R336" s="531"/>
      <c r="S336" s="531"/>
      <c r="T336" s="531"/>
      <c r="U336" s="531"/>
      <c r="V336" s="531"/>
      <c r="W336" s="531"/>
      <c r="X336" s="531"/>
      <c r="Y336" s="532"/>
      <c r="Z336" s="537"/>
      <c r="AA336" s="538"/>
      <c r="AB336" s="538"/>
      <c r="AC336" s="538"/>
      <c r="AD336" s="538"/>
      <c r="AE336" s="538"/>
      <c r="AF336" s="538"/>
      <c r="AG336" s="531"/>
      <c r="AH336" s="531"/>
      <c r="AI336" s="531"/>
      <c r="AJ336" s="531"/>
      <c r="AK336" s="531"/>
      <c r="AL336" s="531"/>
      <c r="AM336" s="531"/>
      <c r="AN336" s="531"/>
      <c r="AO336" s="531"/>
      <c r="AP336" s="531"/>
      <c r="AQ336" s="531"/>
      <c r="AR336" s="531"/>
      <c r="AS336" s="531"/>
      <c r="AT336" s="531"/>
      <c r="AU336" s="531"/>
      <c r="AV336" s="531"/>
      <c r="AW336" s="531"/>
      <c r="AX336" s="532"/>
    </row>
    <row r="337" spans="1:50" x14ac:dyDescent="0.25">
      <c r="A337" s="524"/>
      <c r="B337" s="525"/>
      <c r="C337" s="525"/>
      <c r="D337" s="525"/>
      <c r="E337" s="525"/>
      <c r="F337" s="525"/>
      <c r="G337" s="525"/>
      <c r="H337" s="526" t="str">
        <f>IF(A338="","",LOOKUP(A338,BoonRef!$A$2:$A$430,BoonRef!$C$2:$C$430))</f>
        <v/>
      </c>
      <c r="I337" s="526"/>
      <c r="J337" s="527"/>
      <c r="K337" s="527"/>
      <c r="L337" s="527"/>
      <c r="M337" s="527"/>
      <c r="N337" s="527"/>
      <c r="O337" s="527"/>
      <c r="P337" s="527"/>
      <c r="Q337" s="527"/>
      <c r="R337" s="527"/>
      <c r="S337" s="527"/>
      <c r="T337" s="527"/>
      <c r="U337" s="527"/>
      <c r="V337" s="527"/>
      <c r="W337" s="527"/>
      <c r="X337" s="527"/>
      <c r="Y337" s="528"/>
      <c r="Z337" s="524"/>
      <c r="AA337" s="525"/>
      <c r="AB337" s="525"/>
      <c r="AC337" s="525"/>
      <c r="AD337" s="525"/>
      <c r="AE337" s="526" t="str">
        <f>IF(Z338="","",LOOKUP(Z338,KanckRef!$A$2:$A$170,KanckRef!$E$2:$E$170))</f>
        <v/>
      </c>
      <c r="AF337" s="526"/>
      <c r="AG337" s="527"/>
      <c r="AH337" s="527"/>
      <c r="AI337" s="527"/>
      <c r="AJ337" s="527"/>
      <c r="AK337" s="527"/>
      <c r="AL337" s="527"/>
      <c r="AM337" s="527"/>
      <c r="AN337" s="527"/>
      <c r="AO337" s="527"/>
      <c r="AP337" s="527"/>
      <c r="AQ337" s="527"/>
      <c r="AR337" s="527"/>
      <c r="AS337" s="527"/>
      <c r="AT337" s="527"/>
      <c r="AU337" s="527"/>
      <c r="AV337" s="527"/>
      <c r="AW337" s="527"/>
      <c r="AX337" s="528"/>
    </row>
    <row r="338" spans="1:50" x14ac:dyDescent="0.25">
      <c r="A338" s="533"/>
      <c r="B338" s="534"/>
      <c r="C338" s="534"/>
      <c r="D338" s="534"/>
      <c r="E338" s="534"/>
      <c r="F338" s="534"/>
      <c r="G338" s="534"/>
      <c r="H338" s="535" t="str">
        <f>IF(A338="","",LOOKUP(A338,BoonRef!$A$2:$A$430,BoonRef!$P$2:$P$430))</f>
        <v/>
      </c>
      <c r="I338" s="535"/>
      <c r="J338" s="529"/>
      <c r="K338" s="529"/>
      <c r="L338" s="529"/>
      <c r="M338" s="529"/>
      <c r="N338" s="529"/>
      <c r="O338" s="529"/>
      <c r="P338" s="529"/>
      <c r="Q338" s="529"/>
      <c r="R338" s="529"/>
      <c r="S338" s="529"/>
      <c r="T338" s="529"/>
      <c r="U338" s="529"/>
      <c r="V338" s="529"/>
      <c r="W338" s="529"/>
      <c r="X338" s="529"/>
      <c r="Y338" s="530"/>
      <c r="Z338" s="533"/>
      <c r="AA338" s="534"/>
      <c r="AB338" s="534"/>
      <c r="AC338" s="534"/>
      <c r="AD338" s="534"/>
      <c r="AE338" s="535" t="str">
        <f>IF(Z338="","",LOOKUP(Z338,KanckRef!$A$2:$A$170,KanckRef!$F$2:$F$170))</f>
        <v/>
      </c>
      <c r="AF338" s="535"/>
      <c r="AG338" s="529"/>
      <c r="AH338" s="529"/>
      <c r="AI338" s="529"/>
      <c r="AJ338" s="529"/>
      <c r="AK338" s="529"/>
      <c r="AL338" s="529"/>
      <c r="AM338" s="529"/>
      <c r="AN338" s="529"/>
      <c r="AO338" s="529"/>
      <c r="AP338" s="529"/>
      <c r="AQ338" s="529"/>
      <c r="AR338" s="529"/>
      <c r="AS338" s="529"/>
      <c r="AT338" s="529"/>
      <c r="AU338" s="529"/>
      <c r="AV338" s="529"/>
      <c r="AW338" s="529"/>
      <c r="AX338" s="530"/>
    </row>
    <row r="339" spans="1:50" x14ac:dyDescent="0.25">
      <c r="A339" s="533"/>
      <c r="B339" s="534"/>
      <c r="C339" s="534"/>
      <c r="D339" s="534"/>
      <c r="E339" s="534"/>
      <c r="F339" s="534"/>
      <c r="G339" s="534"/>
      <c r="H339" s="535" t="str">
        <f>IF(A338="","",LOOKUP(A338,BoonRef!$A$2:$A$430,BoonRef!$Q$2:$Q$430))</f>
        <v/>
      </c>
      <c r="I339" s="535"/>
      <c r="J339" s="529"/>
      <c r="K339" s="529"/>
      <c r="L339" s="529"/>
      <c r="M339" s="529"/>
      <c r="N339" s="529"/>
      <c r="O339" s="529"/>
      <c r="P339" s="529"/>
      <c r="Q339" s="529"/>
      <c r="R339" s="529"/>
      <c r="S339" s="529"/>
      <c r="T339" s="529"/>
      <c r="U339" s="529"/>
      <c r="V339" s="529"/>
      <c r="W339" s="529"/>
      <c r="X339" s="529"/>
      <c r="Y339" s="530"/>
      <c r="Z339" s="533"/>
      <c r="AA339" s="534"/>
      <c r="AB339" s="534"/>
      <c r="AC339" s="534"/>
      <c r="AD339" s="534"/>
      <c r="AE339" s="535"/>
      <c r="AF339" s="535"/>
      <c r="AG339" s="529"/>
      <c r="AH339" s="529"/>
      <c r="AI339" s="529"/>
      <c r="AJ339" s="529"/>
      <c r="AK339" s="529"/>
      <c r="AL339" s="529"/>
      <c r="AM339" s="529"/>
      <c r="AN339" s="529"/>
      <c r="AO339" s="529"/>
      <c r="AP339" s="529"/>
      <c r="AQ339" s="529"/>
      <c r="AR339" s="529"/>
      <c r="AS339" s="529"/>
      <c r="AT339" s="529"/>
      <c r="AU339" s="529"/>
      <c r="AV339" s="529"/>
      <c r="AW339" s="529"/>
      <c r="AX339" s="530"/>
    </row>
    <row r="340" spans="1:50" ht="15" customHeight="1" x14ac:dyDescent="0.25">
      <c r="A340" s="536" t="str">
        <f>IF(A338="","",LOOKUP(A338,BoonRef!$A$2:$A$430,BoonRef!$O$2:$O$430))</f>
        <v/>
      </c>
      <c r="B340" s="535"/>
      <c r="C340" s="535"/>
      <c r="D340" s="535"/>
      <c r="E340" s="535"/>
      <c r="F340" s="535"/>
      <c r="G340" s="535"/>
      <c r="H340" s="535"/>
      <c r="I340" s="535"/>
      <c r="J340" s="529"/>
      <c r="K340" s="529"/>
      <c r="L340" s="529"/>
      <c r="M340" s="529"/>
      <c r="N340" s="529"/>
      <c r="O340" s="529"/>
      <c r="P340" s="529"/>
      <c r="Q340" s="529"/>
      <c r="R340" s="529"/>
      <c r="S340" s="529"/>
      <c r="T340" s="529"/>
      <c r="U340" s="529"/>
      <c r="V340" s="529"/>
      <c r="W340" s="529"/>
      <c r="X340" s="529"/>
      <c r="Y340" s="530"/>
      <c r="Z340" s="536" t="str">
        <f>IF(Z338="","",LOOKUP(Z338,KanckRef!$A$2:$A$170,KanckRef!$D$2:$D$170))</f>
        <v/>
      </c>
      <c r="AA340" s="535"/>
      <c r="AB340" s="535"/>
      <c r="AC340" s="535"/>
      <c r="AD340" s="535"/>
      <c r="AE340" s="535"/>
      <c r="AF340" s="535"/>
      <c r="AG340" s="529"/>
      <c r="AH340" s="529"/>
      <c r="AI340" s="529"/>
      <c r="AJ340" s="529"/>
      <c r="AK340" s="529"/>
      <c r="AL340" s="529"/>
      <c r="AM340" s="529"/>
      <c r="AN340" s="529"/>
      <c r="AO340" s="529"/>
      <c r="AP340" s="529"/>
      <c r="AQ340" s="529"/>
      <c r="AR340" s="529"/>
      <c r="AS340" s="529"/>
      <c r="AT340" s="529"/>
      <c r="AU340" s="529"/>
      <c r="AV340" s="529"/>
      <c r="AW340" s="529"/>
      <c r="AX340" s="530"/>
    </row>
    <row r="341" spans="1:50" ht="15" customHeight="1" x14ac:dyDescent="0.25">
      <c r="A341" s="536" t="str">
        <f>IF(A338="","",LOOKUP(A338,BoonRef!$A$2:$A$430,BoonRef!$N$2:$N$430))</f>
        <v/>
      </c>
      <c r="B341" s="535"/>
      <c r="C341" s="535"/>
      <c r="D341" s="535"/>
      <c r="E341" s="535"/>
      <c r="F341" s="535"/>
      <c r="G341" s="535"/>
      <c r="H341" s="535"/>
      <c r="I341" s="535"/>
      <c r="J341" s="529"/>
      <c r="K341" s="529"/>
      <c r="L341" s="529"/>
      <c r="M341" s="529"/>
      <c r="N341" s="529"/>
      <c r="O341" s="529"/>
      <c r="P341" s="529"/>
      <c r="Q341" s="529"/>
      <c r="R341" s="529"/>
      <c r="S341" s="529"/>
      <c r="T341" s="529"/>
      <c r="U341" s="529"/>
      <c r="V341" s="529"/>
      <c r="W341" s="529"/>
      <c r="X341" s="529"/>
      <c r="Y341" s="530"/>
      <c r="Z341" s="536"/>
      <c r="AA341" s="535"/>
      <c r="AB341" s="535"/>
      <c r="AC341" s="535"/>
      <c r="AD341" s="535"/>
      <c r="AE341" s="535"/>
      <c r="AF341" s="535"/>
      <c r="AG341" s="529"/>
      <c r="AH341" s="529"/>
      <c r="AI341" s="529"/>
      <c r="AJ341" s="529"/>
      <c r="AK341" s="529"/>
      <c r="AL341" s="529"/>
      <c r="AM341" s="529"/>
      <c r="AN341" s="529"/>
      <c r="AO341" s="529"/>
      <c r="AP341" s="529"/>
      <c r="AQ341" s="529"/>
      <c r="AR341" s="529"/>
      <c r="AS341" s="529"/>
      <c r="AT341" s="529"/>
      <c r="AU341" s="529"/>
      <c r="AV341" s="529"/>
      <c r="AW341" s="529"/>
      <c r="AX341" s="530"/>
    </row>
    <row r="342" spans="1:50" ht="15.75" thickBot="1" x14ac:dyDescent="0.3">
      <c r="A342" s="537"/>
      <c r="B342" s="538"/>
      <c r="C342" s="538"/>
      <c r="D342" s="538"/>
      <c r="E342" s="538"/>
      <c r="F342" s="538"/>
      <c r="G342" s="538"/>
      <c r="H342" s="538"/>
      <c r="I342" s="538"/>
      <c r="J342" s="531"/>
      <c r="K342" s="531"/>
      <c r="L342" s="531"/>
      <c r="M342" s="531"/>
      <c r="N342" s="531"/>
      <c r="O342" s="531"/>
      <c r="P342" s="531"/>
      <c r="Q342" s="531"/>
      <c r="R342" s="531"/>
      <c r="S342" s="531"/>
      <c r="T342" s="531"/>
      <c r="U342" s="531"/>
      <c r="V342" s="531"/>
      <c r="W342" s="531"/>
      <c r="X342" s="531"/>
      <c r="Y342" s="532"/>
      <c r="Z342" s="537"/>
      <c r="AA342" s="538"/>
      <c r="AB342" s="538"/>
      <c r="AC342" s="538"/>
      <c r="AD342" s="538"/>
      <c r="AE342" s="538"/>
      <c r="AF342" s="538"/>
      <c r="AG342" s="531"/>
      <c r="AH342" s="531"/>
      <c r="AI342" s="531"/>
      <c r="AJ342" s="531"/>
      <c r="AK342" s="531"/>
      <c r="AL342" s="531"/>
      <c r="AM342" s="531"/>
      <c r="AN342" s="531"/>
      <c r="AO342" s="531"/>
      <c r="AP342" s="531"/>
      <c r="AQ342" s="531"/>
      <c r="AR342" s="531"/>
      <c r="AS342" s="531"/>
      <c r="AT342" s="531"/>
      <c r="AU342" s="531"/>
      <c r="AV342" s="531"/>
      <c r="AW342" s="531"/>
      <c r="AX342" s="532"/>
    </row>
    <row r="343" spans="1:50" x14ac:dyDescent="0.25">
      <c r="A343" s="524"/>
      <c r="B343" s="525"/>
      <c r="C343" s="525"/>
      <c r="D343" s="525"/>
      <c r="E343" s="525"/>
      <c r="F343" s="525"/>
      <c r="G343" s="525"/>
      <c r="H343" s="526" t="str">
        <f>IF(A344="","",LOOKUP(A344,BoonRef!$A$2:$A$430,BoonRef!$C$2:$C$430))</f>
        <v/>
      </c>
      <c r="I343" s="526"/>
      <c r="J343" s="527"/>
      <c r="K343" s="527"/>
      <c r="L343" s="527"/>
      <c r="M343" s="527"/>
      <c r="N343" s="527"/>
      <c r="O343" s="527"/>
      <c r="P343" s="527"/>
      <c r="Q343" s="527"/>
      <c r="R343" s="527"/>
      <c r="S343" s="527"/>
      <c r="T343" s="527"/>
      <c r="U343" s="527"/>
      <c r="V343" s="527"/>
      <c r="W343" s="527"/>
      <c r="X343" s="527"/>
      <c r="Y343" s="528"/>
      <c r="Z343" s="524"/>
      <c r="AA343" s="525"/>
      <c r="AB343" s="525"/>
      <c r="AC343" s="525"/>
      <c r="AD343" s="525"/>
      <c r="AE343" s="526" t="str">
        <f>IF(Z344="","",LOOKUP(Z344,KanckRef!$A$2:$A$170,KanckRef!$E$2:$E$170))</f>
        <v/>
      </c>
      <c r="AF343" s="526"/>
      <c r="AG343" s="527"/>
      <c r="AH343" s="527"/>
      <c r="AI343" s="527"/>
      <c r="AJ343" s="527"/>
      <c r="AK343" s="527"/>
      <c r="AL343" s="527"/>
      <c r="AM343" s="527"/>
      <c r="AN343" s="527"/>
      <c r="AO343" s="527"/>
      <c r="AP343" s="527"/>
      <c r="AQ343" s="527"/>
      <c r="AR343" s="527"/>
      <c r="AS343" s="527"/>
      <c r="AT343" s="527"/>
      <c r="AU343" s="527"/>
      <c r="AV343" s="527"/>
      <c r="AW343" s="527"/>
      <c r="AX343" s="528"/>
    </row>
    <row r="344" spans="1:50" x14ac:dyDescent="0.25">
      <c r="A344" s="533"/>
      <c r="B344" s="534"/>
      <c r="C344" s="534"/>
      <c r="D344" s="534"/>
      <c r="E344" s="534"/>
      <c r="F344" s="534"/>
      <c r="G344" s="534"/>
      <c r="H344" s="535" t="str">
        <f>IF(A344="","",LOOKUP(A344,BoonRef!$A$2:$A$430,BoonRef!$P$2:$P$430))</f>
        <v/>
      </c>
      <c r="I344" s="535"/>
      <c r="J344" s="529"/>
      <c r="K344" s="529"/>
      <c r="L344" s="529"/>
      <c r="M344" s="529"/>
      <c r="N344" s="529"/>
      <c r="O344" s="529"/>
      <c r="P344" s="529"/>
      <c r="Q344" s="529"/>
      <c r="R344" s="529"/>
      <c r="S344" s="529"/>
      <c r="T344" s="529"/>
      <c r="U344" s="529"/>
      <c r="V344" s="529"/>
      <c r="W344" s="529"/>
      <c r="X344" s="529"/>
      <c r="Y344" s="530"/>
      <c r="Z344" s="533"/>
      <c r="AA344" s="534"/>
      <c r="AB344" s="534"/>
      <c r="AC344" s="534"/>
      <c r="AD344" s="534"/>
      <c r="AE344" s="535" t="str">
        <f>IF(Z344="","",LOOKUP(Z344,KanckRef!$A$2:$A$170,KanckRef!$F$2:$F$170))</f>
        <v/>
      </c>
      <c r="AF344" s="535"/>
      <c r="AG344" s="529"/>
      <c r="AH344" s="529"/>
      <c r="AI344" s="529"/>
      <c r="AJ344" s="529"/>
      <c r="AK344" s="529"/>
      <c r="AL344" s="529"/>
      <c r="AM344" s="529"/>
      <c r="AN344" s="529"/>
      <c r="AO344" s="529"/>
      <c r="AP344" s="529"/>
      <c r="AQ344" s="529"/>
      <c r="AR344" s="529"/>
      <c r="AS344" s="529"/>
      <c r="AT344" s="529"/>
      <c r="AU344" s="529"/>
      <c r="AV344" s="529"/>
      <c r="AW344" s="529"/>
      <c r="AX344" s="530"/>
    </row>
    <row r="345" spans="1:50" ht="15" customHeight="1" x14ac:dyDescent="0.25">
      <c r="A345" s="533"/>
      <c r="B345" s="534"/>
      <c r="C345" s="534"/>
      <c r="D345" s="534"/>
      <c r="E345" s="534"/>
      <c r="F345" s="534"/>
      <c r="G345" s="534"/>
      <c r="H345" s="535" t="str">
        <f>IF(A344="","",LOOKUP(A344,BoonRef!$A$2:$A$430,BoonRef!$Q$2:$Q$430))</f>
        <v/>
      </c>
      <c r="I345" s="535"/>
      <c r="J345" s="529"/>
      <c r="K345" s="529"/>
      <c r="L345" s="529"/>
      <c r="M345" s="529"/>
      <c r="N345" s="529"/>
      <c r="O345" s="529"/>
      <c r="P345" s="529"/>
      <c r="Q345" s="529"/>
      <c r="R345" s="529"/>
      <c r="S345" s="529"/>
      <c r="T345" s="529"/>
      <c r="U345" s="529"/>
      <c r="V345" s="529"/>
      <c r="W345" s="529"/>
      <c r="X345" s="529"/>
      <c r="Y345" s="530"/>
      <c r="Z345" s="533"/>
      <c r="AA345" s="534"/>
      <c r="AB345" s="534"/>
      <c r="AC345" s="534"/>
      <c r="AD345" s="534"/>
      <c r="AE345" s="535"/>
      <c r="AF345" s="535"/>
      <c r="AG345" s="529"/>
      <c r="AH345" s="529"/>
      <c r="AI345" s="529"/>
      <c r="AJ345" s="529"/>
      <c r="AK345" s="529"/>
      <c r="AL345" s="529"/>
      <c r="AM345" s="529"/>
      <c r="AN345" s="529"/>
      <c r="AO345" s="529"/>
      <c r="AP345" s="529"/>
      <c r="AQ345" s="529"/>
      <c r="AR345" s="529"/>
      <c r="AS345" s="529"/>
      <c r="AT345" s="529"/>
      <c r="AU345" s="529"/>
      <c r="AV345" s="529"/>
      <c r="AW345" s="529"/>
      <c r="AX345" s="530"/>
    </row>
    <row r="346" spans="1:50" ht="15" customHeight="1" x14ac:dyDescent="0.25">
      <c r="A346" s="536" t="str">
        <f>IF(A344="","",LOOKUP(A344,BoonRef!$A$2:$A$430,BoonRef!$O$2:$O$430))</f>
        <v/>
      </c>
      <c r="B346" s="535"/>
      <c r="C346" s="535"/>
      <c r="D346" s="535"/>
      <c r="E346" s="535"/>
      <c r="F346" s="535"/>
      <c r="G346" s="535"/>
      <c r="H346" s="535"/>
      <c r="I346" s="535"/>
      <c r="J346" s="529"/>
      <c r="K346" s="529"/>
      <c r="L346" s="529"/>
      <c r="M346" s="529"/>
      <c r="N346" s="529"/>
      <c r="O346" s="529"/>
      <c r="P346" s="529"/>
      <c r="Q346" s="529"/>
      <c r="R346" s="529"/>
      <c r="S346" s="529"/>
      <c r="T346" s="529"/>
      <c r="U346" s="529"/>
      <c r="V346" s="529"/>
      <c r="W346" s="529"/>
      <c r="X346" s="529"/>
      <c r="Y346" s="530"/>
      <c r="Z346" s="536" t="str">
        <f>IF(Z344="","",LOOKUP(Z344,KanckRef!$A$2:$A$170,KanckRef!$D$2:$D$170))</f>
        <v/>
      </c>
      <c r="AA346" s="535"/>
      <c r="AB346" s="535"/>
      <c r="AC346" s="535"/>
      <c r="AD346" s="535"/>
      <c r="AE346" s="535"/>
      <c r="AF346" s="535"/>
      <c r="AG346" s="529"/>
      <c r="AH346" s="529"/>
      <c r="AI346" s="529"/>
      <c r="AJ346" s="529"/>
      <c r="AK346" s="529"/>
      <c r="AL346" s="529"/>
      <c r="AM346" s="529"/>
      <c r="AN346" s="529"/>
      <c r="AO346" s="529"/>
      <c r="AP346" s="529"/>
      <c r="AQ346" s="529"/>
      <c r="AR346" s="529"/>
      <c r="AS346" s="529"/>
      <c r="AT346" s="529"/>
      <c r="AU346" s="529"/>
      <c r="AV346" s="529"/>
      <c r="AW346" s="529"/>
      <c r="AX346" s="530"/>
    </row>
    <row r="347" spans="1:50" x14ac:dyDescent="0.25">
      <c r="A347" s="536" t="str">
        <f>IF(A344="","",LOOKUP(A344,BoonRef!$A$2:$A$430,BoonRef!$N$2:$N$430))</f>
        <v/>
      </c>
      <c r="B347" s="535"/>
      <c r="C347" s="535"/>
      <c r="D347" s="535"/>
      <c r="E347" s="535"/>
      <c r="F347" s="535"/>
      <c r="G347" s="535"/>
      <c r="H347" s="535"/>
      <c r="I347" s="535"/>
      <c r="J347" s="529"/>
      <c r="K347" s="529"/>
      <c r="L347" s="529"/>
      <c r="M347" s="529"/>
      <c r="N347" s="529"/>
      <c r="O347" s="529"/>
      <c r="P347" s="529"/>
      <c r="Q347" s="529"/>
      <c r="R347" s="529"/>
      <c r="S347" s="529"/>
      <c r="T347" s="529"/>
      <c r="U347" s="529"/>
      <c r="V347" s="529"/>
      <c r="W347" s="529"/>
      <c r="X347" s="529"/>
      <c r="Y347" s="530"/>
      <c r="Z347" s="536"/>
      <c r="AA347" s="535"/>
      <c r="AB347" s="535"/>
      <c r="AC347" s="535"/>
      <c r="AD347" s="535"/>
      <c r="AE347" s="535"/>
      <c r="AF347" s="535"/>
      <c r="AG347" s="529"/>
      <c r="AH347" s="529"/>
      <c r="AI347" s="529"/>
      <c r="AJ347" s="529"/>
      <c r="AK347" s="529"/>
      <c r="AL347" s="529"/>
      <c r="AM347" s="529"/>
      <c r="AN347" s="529"/>
      <c r="AO347" s="529"/>
      <c r="AP347" s="529"/>
      <c r="AQ347" s="529"/>
      <c r="AR347" s="529"/>
      <c r="AS347" s="529"/>
      <c r="AT347" s="529"/>
      <c r="AU347" s="529"/>
      <c r="AV347" s="529"/>
      <c r="AW347" s="529"/>
      <c r="AX347" s="530"/>
    </row>
    <row r="348" spans="1:50" ht="15.75" thickBot="1" x14ac:dyDescent="0.3">
      <c r="A348" s="537"/>
      <c r="B348" s="538"/>
      <c r="C348" s="538"/>
      <c r="D348" s="538"/>
      <c r="E348" s="538"/>
      <c r="F348" s="538"/>
      <c r="G348" s="538"/>
      <c r="H348" s="538"/>
      <c r="I348" s="538"/>
      <c r="J348" s="531"/>
      <c r="K348" s="531"/>
      <c r="L348" s="531"/>
      <c r="M348" s="531"/>
      <c r="N348" s="531"/>
      <c r="O348" s="531"/>
      <c r="P348" s="531"/>
      <c r="Q348" s="531"/>
      <c r="R348" s="531"/>
      <c r="S348" s="531"/>
      <c r="T348" s="531"/>
      <c r="U348" s="531"/>
      <c r="V348" s="531"/>
      <c r="W348" s="531"/>
      <c r="X348" s="531"/>
      <c r="Y348" s="532"/>
      <c r="Z348" s="537"/>
      <c r="AA348" s="538"/>
      <c r="AB348" s="538"/>
      <c r="AC348" s="538"/>
      <c r="AD348" s="538"/>
      <c r="AE348" s="538"/>
      <c r="AF348" s="538"/>
      <c r="AG348" s="531"/>
      <c r="AH348" s="531"/>
      <c r="AI348" s="531"/>
      <c r="AJ348" s="531"/>
      <c r="AK348" s="531"/>
      <c r="AL348" s="531"/>
      <c r="AM348" s="531"/>
      <c r="AN348" s="531"/>
      <c r="AO348" s="531"/>
      <c r="AP348" s="531"/>
      <c r="AQ348" s="531"/>
      <c r="AR348" s="531"/>
      <c r="AS348" s="531"/>
      <c r="AT348" s="531"/>
      <c r="AU348" s="531"/>
      <c r="AV348" s="531"/>
      <c r="AW348" s="531"/>
      <c r="AX348" s="532"/>
    </row>
    <row r="349" spans="1:50" x14ac:dyDescent="0.25">
      <c r="A349" s="524"/>
      <c r="B349" s="525"/>
      <c r="C349" s="525"/>
      <c r="D349" s="525"/>
      <c r="E349" s="525"/>
      <c r="F349" s="525"/>
      <c r="G349" s="525"/>
      <c r="H349" s="526" t="str">
        <f>IF(A350="","",LOOKUP(A350,BoonRef!$A$2:$A$430,BoonRef!$C$2:$C$430))</f>
        <v/>
      </c>
      <c r="I349" s="526"/>
      <c r="J349" s="527"/>
      <c r="K349" s="527"/>
      <c r="L349" s="527"/>
      <c r="M349" s="527"/>
      <c r="N349" s="527"/>
      <c r="O349" s="527"/>
      <c r="P349" s="527"/>
      <c r="Q349" s="527"/>
      <c r="R349" s="527"/>
      <c r="S349" s="527"/>
      <c r="T349" s="527"/>
      <c r="U349" s="527"/>
      <c r="V349" s="527"/>
      <c r="W349" s="527"/>
      <c r="X349" s="527"/>
      <c r="Y349" s="528"/>
      <c r="Z349" s="524"/>
      <c r="AA349" s="525"/>
      <c r="AB349" s="525"/>
      <c r="AC349" s="525"/>
      <c r="AD349" s="525"/>
      <c r="AE349" s="526" t="str">
        <f>IF(Z350="","",LOOKUP(Z350,KanckRef!$A$2:$A$170,KanckRef!$E$2:$E$170))</f>
        <v/>
      </c>
      <c r="AF349" s="526"/>
      <c r="AG349" s="527"/>
      <c r="AH349" s="527"/>
      <c r="AI349" s="527"/>
      <c r="AJ349" s="527"/>
      <c r="AK349" s="527"/>
      <c r="AL349" s="527"/>
      <c r="AM349" s="527"/>
      <c r="AN349" s="527"/>
      <c r="AO349" s="527"/>
      <c r="AP349" s="527"/>
      <c r="AQ349" s="527"/>
      <c r="AR349" s="527"/>
      <c r="AS349" s="527"/>
      <c r="AT349" s="527"/>
      <c r="AU349" s="527"/>
      <c r="AV349" s="527"/>
      <c r="AW349" s="527"/>
      <c r="AX349" s="528"/>
    </row>
    <row r="350" spans="1:50" ht="15" customHeight="1" x14ac:dyDescent="0.25">
      <c r="A350" s="533"/>
      <c r="B350" s="534"/>
      <c r="C350" s="534"/>
      <c r="D350" s="534"/>
      <c r="E350" s="534"/>
      <c r="F350" s="534"/>
      <c r="G350" s="534"/>
      <c r="H350" s="535" t="str">
        <f>IF(A350="","",LOOKUP(A350,BoonRef!$A$2:$A$430,BoonRef!$P$2:$P$430))</f>
        <v/>
      </c>
      <c r="I350" s="535"/>
      <c r="J350" s="529"/>
      <c r="K350" s="529"/>
      <c r="L350" s="529"/>
      <c r="M350" s="529"/>
      <c r="N350" s="529"/>
      <c r="O350" s="529"/>
      <c r="P350" s="529"/>
      <c r="Q350" s="529"/>
      <c r="R350" s="529"/>
      <c r="S350" s="529"/>
      <c r="T350" s="529"/>
      <c r="U350" s="529"/>
      <c r="V350" s="529"/>
      <c r="W350" s="529"/>
      <c r="X350" s="529"/>
      <c r="Y350" s="530"/>
      <c r="Z350" s="533"/>
      <c r="AA350" s="534"/>
      <c r="AB350" s="534"/>
      <c r="AC350" s="534"/>
      <c r="AD350" s="534"/>
      <c r="AE350" s="535" t="str">
        <f>IF(Z350="","",LOOKUP(Z350,KanckRef!$A$2:$A$170,KanckRef!$F$2:$F$170))</f>
        <v/>
      </c>
      <c r="AF350" s="535"/>
      <c r="AG350" s="529"/>
      <c r="AH350" s="529"/>
      <c r="AI350" s="529"/>
      <c r="AJ350" s="529"/>
      <c r="AK350" s="529"/>
      <c r="AL350" s="529"/>
      <c r="AM350" s="529"/>
      <c r="AN350" s="529"/>
      <c r="AO350" s="529"/>
      <c r="AP350" s="529"/>
      <c r="AQ350" s="529"/>
      <c r="AR350" s="529"/>
      <c r="AS350" s="529"/>
      <c r="AT350" s="529"/>
      <c r="AU350" s="529"/>
      <c r="AV350" s="529"/>
      <c r="AW350" s="529"/>
      <c r="AX350" s="530"/>
    </row>
    <row r="351" spans="1:50" ht="15" customHeight="1" x14ac:dyDescent="0.25">
      <c r="A351" s="533"/>
      <c r="B351" s="534"/>
      <c r="C351" s="534"/>
      <c r="D351" s="534"/>
      <c r="E351" s="534"/>
      <c r="F351" s="534"/>
      <c r="G351" s="534"/>
      <c r="H351" s="535" t="str">
        <f>IF(A350="","",LOOKUP(A350,BoonRef!$A$2:$A$430,BoonRef!$Q$2:$Q$430))</f>
        <v/>
      </c>
      <c r="I351" s="535"/>
      <c r="J351" s="529"/>
      <c r="K351" s="529"/>
      <c r="L351" s="529"/>
      <c r="M351" s="529"/>
      <c r="N351" s="529"/>
      <c r="O351" s="529"/>
      <c r="P351" s="529"/>
      <c r="Q351" s="529"/>
      <c r="R351" s="529"/>
      <c r="S351" s="529"/>
      <c r="T351" s="529"/>
      <c r="U351" s="529"/>
      <c r="V351" s="529"/>
      <c r="W351" s="529"/>
      <c r="X351" s="529"/>
      <c r="Y351" s="530"/>
      <c r="Z351" s="533"/>
      <c r="AA351" s="534"/>
      <c r="AB351" s="534"/>
      <c r="AC351" s="534"/>
      <c r="AD351" s="534"/>
      <c r="AE351" s="535"/>
      <c r="AF351" s="535"/>
      <c r="AG351" s="529"/>
      <c r="AH351" s="529"/>
      <c r="AI351" s="529"/>
      <c r="AJ351" s="529"/>
      <c r="AK351" s="529"/>
      <c r="AL351" s="529"/>
      <c r="AM351" s="529"/>
      <c r="AN351" s="529"/>
      <c r="AO351" s="529"/>
      <c r="AP351" s="529"/>
      <c r="AQ351" s="529"/>
      <c r="AR351" s="529"/>
      <c r="AS351" s="529"/>
      <c r="AT351" s="529"/>
      <c r="AU351" s="529"/>
      <c r="AV351" s="529"/>
      <c r="AW351" s="529"/>
      <c r="AX351" s="530"/>
    </row>
    <row r="352" spans="1:50" x14ac:dyDescent="0.25">
      <c r="A352" s="536" t="str">
        <f>IF(A350="","",LOOKUP(A350,BoonRef!$A$2:$A$430,BoonRef!$O$2:$O$430))</f>
        <v/>
      </c>
      <c r="B352" s="535"/>
      <c r="C352" s="535"/>
      <c r="D352" s="535"/>
      <c r="E352" s="535"/>
      <c r="F352" s="535"/>
      <c r="G352" s="535"/>
      <c r="H352" s="535"/>
      <c r="I352" s="535"/>
      <c r="J352" s="529"/>
      <c r="K352" s="529"/>
      <c r="L352" s="529"/>
      <c r="M352" s="529"/>
      <c r="N352" s="529"/>
      <c r="O352" s="529"/>
      <c r="P352" s="529"/>
      <c r="Q352" s="529"/>
      <c r="R352" s="529"/>
      <c r="S352" s="529"/>
      <c r="T352" s="529"/>
      <c r="U352" s="529"/>
      <c r="V352" s="529"/>
      <c r="W352" s="529"/>
      <c r="X352" s="529"/>
      <c r="Y352" s="530"/>
      <c r="Z352" s="536" t="str">
        <f>IF(Z350="","",LOOKUP(Z350,KanckRef!$A$2:$A$170,KanckRef!$D$2:$D$170))</f>
        <v/>
      </c>
      <c r="AA352" s="535"/>
      <c r="AB352" s="535"/>
      <c r="AC352" s="535"/>
      <c r="AD352" s="535"/>
      <c r="AE352" s="535"/>
      <c r="AF352" s="535"/>
      <c r="AG352" s="529"/>
      <c r="AH352" s="529"/>
      <c r="AI352" s="529"/>
      <c r="AJ352" s="529"/>
      <c r="AK352" s="529"/>
      <c r="AL352" s="529"/>
      <c r="AM352" s="529"/>
      <c r="AN352" s="529"/>
      <c r="AO352" s="529"/>
      <c r="AP352" s="529"/>
      <c r="AQ352" s="529"/>
      <c r="AR352" s="529"/>
      <c r="AS352" s="529"/>
      <c r="AT352" s="529"/>
      <c r="AU352" s="529"/>
      <c r="AV352" s="529"/>
      <c r="AW352" s="529"/>
      <c r="AX352" s="530"/>
    </row>
    <row r="353" spans="1:50" x14ac:dyDescent="0.25">
      <c r="A353" s="536" t="str">
        <f>IF(A350="","",LOOKUP(A350,BoonRef!$A$2:$A$430,BoonRef!$N$2:$N$430))</f>
        <v/>
      </c>
      <c r="B353" s="535"/>
      <c r="C353" s="535"/>
      <c r="D353" s="535"/>
      <c r="E353" s="535"/>
      <c r="F353" s="535"/>
      <c r="G353" s="535"/>
      <c r="H353" s="535"/>
      <c r="I353" s="535"/>
      <c r="J353" s="529"/>
      <c r="K353" s="529"/>
      <c r="L353" s="529"/>
      <c r="M353" s="529"/>
      <c r="N353" s="529"/>
      <c r="O353" s="529"/>
      <c r="P353" s="529"/>
      <c r="Q353" s="529"/>
      <c r="R353" s="529"/>
      <c r="S353" s="529"/>
      <c r="T353" s="529"/>
      <c r="U353" s="529"/>
      <c r="V353" s="529"/>
      <c r="W353" s="529"/>
      <c r="X353" s="529"/>
      <c r="Y353" s="530"/>
      <c r="Z353" s="536"/>
      <c r="AA353" s="535"/>
      <c r="AB353" s="535"/>
      <c r="AC353" s="535"/>
      <c r="AD353" s="535"/>
      <c r="AE353" s="535"/>
      <c r="AF353" s="535"/>
      <c r="AG353" s="529"/>
      <c r="AH353" s="529"/>
      <c r="AI353" s="529"/>
      <c r="AJ353" s="529"/>
      <c r="AK353" s="529"/>
      <c r="AL353" s="529"/>
      <c r="AM353" s="529"/>
      <c r="AN353" s="529"/>
      <c r="AO353" s="529"/>
      <c r="AP353" s="529"/>
      <c r="AQ353" s="529"/>
      <c r="AR353" s="529"/>
      <c r="AS353" s="529"/>
      <c r="AT353" s="529"/>
      <c r="AU353" s="529"/>
      <c r="AV353" s="529"/>
      <c r="AW353" s="529"/>
      <c r="AX353" s="530"/>
    </row>
    <row r="354" spans="1:50" ht="15.75" thickBot="1" x14ac:dyDescent="0.3">
      <c r="A354" s="537"/>
      <c r="B354" s="538"/>
      <c r="C354" s="538"/>
      <c r="D354" s="538"/>
      <c r="E354" s="538"/>
      <c r="F354" s="538"/>
      <c r="G354" s="538"/>
      <c r="H354" s="538"/>
      <c r="I354" s="538"/>
      <c r="J354" s="531"/>
      <c r="K354" s="531"/>
      <c r="L354" s="531"/>
      <c r="M354" s="531"/>
      <c r="N354" s="531"/>
      <c r="O354" s="531"/>
      <c r="P354" s="531"/>
      <c r="Q354" s="531"/>
      <c r="R354" s="531"/>
      <c r="S354" s="531"/>
      <c r="T354" s="531"/>
      <c r="U354" s="531"/>
      <c r="V354" s="531"/>
      <c r="W354" s="531"/>
      <c r="X354" s="531"/>
      <c r="Y354" s="532"/>
      <c r="Z354" s="537"/>
      <c r="AA354" s="538"/>
      <c r="AB354" s="538"/>
      <c r="AC354" s="538"/>
      <c r="AD354" s="538"/>
      <c r="AE354" s="538"/>
      <c r="AF354" s="538"/>
      <c r="AG354" s="531"/>
      <c r="AH354" s="531"/>
      <c r="AI354" s="531"/>
      <c r="AJ354" s="531"/>
      <c r="AK354" s="531"/>
      <c r="AL354" s="531"/>
      <c r="AM354" s="531"/>
      <c r="AN354" s="531"/>
      <c r="AO354" s="531"/>
      <c r="AP354" s="531"/>
      <c r="AQ354" s="531"/>
      <c r="AR354" s="531"/>
      <c r="AS354" s="531"/>
      <c r="AT354" s="531"/>
      <c r="AU354" s="531"/>
      <c r="AV354" s="531"/>
      <c r="AW354" s="531"/>
      <c r="AX354" s="532"/>
    </row>
    <row r="355" spans="1:50" ht="15" customHeight="1" x14ac:dyDescent="0.25">
      <c r="A355" s="524"/>
      <c r="B355" s="525"/>
      <c r="C355" s="525"/>
      <c r="D355" s="525"/>
      <c r="E355" s="525"/>
      <c r="F355" s="525"/>
      <c r="G355" s="525"/>
      <c r="H355" s="526" t="str">
        <f>IF(A356="","",LOOKUP(A356,BoonRef!$A$2:$A$430,BoonRef!$C$2:$C$430))</f>
        <v/>
      </c>
      <c r="I355" s="526"/>
      <c r="J355" s="527"/>
      <c r="K355" s="527"/>
      <c r="L355" s="527"/>
      <c r="M355" s="527"/>
      <c r="N355" s="527"/>
      <c r="O355" s="527"/>
      <c r="P355" s="527"/>
      <c r="Q355" s="527"/>
      <c r="R355" s="527"/>
      <c r="S355" s="527"/>
      <c r="T355" s="527"/>
      <c r="U355" s="527"/>
      <c r="V355" s="527"/>
      <c r="W355" s="527"/>
      <c r="X355" s="527"/>
      <c r="Y355" s="528"/>
      <c r="Z355" s="524"/>
      <c r="AA355" s="525"/>
      <c r="AB355" s="525"/>
      <c r="AC355" s="525"/>
      <c r="AD355" s="525"/>
      <c r="AE355" s="526" t="str">
        <f>IF(Z356="","",LOOKUP(Z356,KanckRef!$A$2:$A$170,KanckRef!$E$2:$E$170))</f>
        <v/>
      </c>
      <c r="AF355" s="526"/>
      <c r="AG355" s="527"/>
      <c r="AH355" s="527"/>
      <c r="AI355" s="527"/>
      <c r="AJ355" s="527"/>
      <c r="AK355" s="527"/>
      <c r="AL355" s="527"/>
      <c r="AM355" s="527"/>
      <c r="AN355" s="527"/>
      <c r="AO355" s="527"/>
      <c r="AP355" s="527"/>
      <c r="AQ355" s="527"/>
      <c r="AR355" s="527"/>
      <c r="AS355" s="527"/>
      <c r="AT355" s="527"/>
      <c r="AU355" s="527"/>
      <c r="AV355" s="527"/>
      <c r="AW355" s="527"/>
      <c r="AX355" s="528"/>
    </row>
    <row r="356" spans="1:50" ht="15" customHeight="1" x14ac:dyDescent="0.25">
      <c r="A356" s="533"/>
      <c r="B356" s="534"/>
      <c r="C356" s="534"/>
      <c r="D356" s="534"/>
      <c r="E356" s="534"/>
      <c r="F356" s="534"/>
      <c r="G356" s="534"/>
      <c r="H356" s="535" t="str">
        <f>IF(A356="","",LOOKUP(A356,BoonRef!$A$2:$A$430,BoonRef!$P$2:$P$430))</f>
        <v/>
      </c>
      <c r="I356" s="535"/>
      <c r="J356" s="529"/>
      <c r="K356" s="529"/>
      <c r="L356" s="529"/>
      <c r="M356" s="529"/>
      <c r="N356" s="529"/>
      <c r="O356" s="529"/>
      <c r="P356" s="529"/>
      <c r="Q356" s="529"/>
      <c r="R356" s="529"/>
      <c r="S356" s="529"/>
      <c r="T356" s="529"/>
      <c r="U356" s="529"/>
      <c r="V356" s="529"/>
      <c r="W356" s="529"/>
      <c r="X356" s="529"/>
      <c r="Y356" s="530"/>
      <c r="Z356" s="533"/>
      <c r="AA356" s="534"/>
      <c r="AB356" s="534"/>
      <c r="AC356" s="534"/>
      <c r="AD356" s="534"/>
      <c r="AE356" s="535" t="str">
        <f>IF(Z356="","",LOOKUP(Z356,KanckRef!$A$2:$A$170,KanckRef!$F$2:$F$170))</f>
        <v/>
      </c>
      <c r="AF356" s="535"/>
      <c r="AG356" s="529"/>
      <c r="AH356" s="529"/>
      <c r="AI356" s="529"/>
      <c r="AJ356" s="529"/>
      <c r="AK356" s="529"/>
      <c r="AL356" s="529"/>
      <c r="AM356" s="529"/>
      <c r="AN356" s="529"/>
      <c r="AO356" s="529"/>
      <c r="AP356" s="529"/>
      <c r="AQ356" s="529"/>
      <c r="AR356" s="529"/>
      <c r="AS356" s="529"/>
      <c r="AT356" s="529"/>
      <c r="AU356" s="529"/>
      <c r="AV356" s="529"/>
      <c r="AW356" s="529"/>
      <c r="AX356" s="530"/>
    </row>
    <row r="357" spans="1:50" x14ac:dyDescent="0.25">
      <c r="A357" s="533"/>
      <c r="B357" s="534"/>
      <c r="C357" s="534"/>
      <c r="D357" s="534"/>
      <c r="E357" s="534"/>
      <c r="F357" s="534"/>
      <c r="G357" s="534"/>
      <c r="H357" s="535" t="str">
        <f>IF(A356="","",LOOKUP(A356,BoonRef!$A$2:$A$430,BoonRef!$Q$2:$Q$430))</f>
        <v/>
      </c>
      <c r="I357" s="535"/>
      <c r="J357" s="529"/>
      <c r="K357" s="529"/>
      <c r="L357" s="529"/>
      <c r="M357" s="529"/>
      <c r="N357" s="529"/>
      <c r="O357" s="529"/>
      <c r="P357" s="529"/>
      <c r="Q357" s="529"/>
      <c r="R357" s="529"/>
      <c r="S357" s="529"/>
      <c r="T357" s="529"/>
      <c r="U357" s="529"/>
      <c r="V357" s="529"/>
      <c r="W357" s="529"/>
      <c r="X357" s="529"/>
      <c r="Y357" s="530"/>
      <c r="Z357" s="533"/>
      <c r="AA357" s="534"/>
      <c r="AB357" s="534"/>
      <c r="AC357" s="534"/>
      <c r="AD357" s="534"/>
      <c r="AE357" s="535"/>
      <c r="AF357" s="535"/>
      <c r="AG357" s="529"/>
      <c r="AH357" s="529"/>
      <c r="AI357" s="529"/>
      <c r="AJ357" s="529"/>
      <c r="AK357" s="529"/>
      <c r="AL357" s="529"/>
      <c r="AM357" s="529"/>
      <c r="AN357" s="529"/>
      <c r="AO357" s="529"/>
      <c r="AP357" s="529"/>
      <c r="AQ357" s="529"/>
      <c r="AR357" s="529"/>
      <c r="AS357" s="529"/>
      <c r="AT357" s="529"/>
      <c r="AU357" s="529"/>
      <c r="AV357" s="529"/>
      <c r="AW357" s="529"/>
      <c r="AX357" s="530"/>
    </row>
    <row r="358" spans="1:50" x14ac:dyDescent="0.25">
      <c r="A358" s="536" t="str">
        <f>IF(A356="","",LOOKUP(A356,BoonRef!$A$2:$A$430,BoonRef!$O$2:$O$430))</f>
        <v/>
      </c>
      <c r="B358" s="535"/>
      <c r="C358" s="535"/>
      <c r="D358" s="535"/>
      <c r="E358" s="535"/>
      <c r="F358" s="535"/>
      <c r="G358" s="535"/>
      <c r="H358" s="535"/>
      <c r="I358" s="535"/>
      <c r="J358" s="529"/>
      <c r="K358" s="529"/>
      <c r="L358" s="529"/>
      <c r="M358" s="529"/>
      <c r="N358" s="529"/>
      <c r="O358" s="529"/>
      <c r="P358" s="529"/>
      <c r="Q358" s="529"/>
      <c r="R358" s="529"/>
      <c r="S358" s="529"/>
      <c r="T358" s="529"/>
      <c r="U358" s="529"/>
      <c r="V358" s="529"/>
      <c r="W358" s="529"/>
      <c r="X358" s="529"/>
      <c r="Y358" s="530"/>
      <c r="Z358" s="536" t="str">
        <f>IF(Z356="","",LOOKUP(Z356,KanckRef!$A$2:$A$170,KanckRef!$D$2:$D$170))</f>
        <v/>
      </c>
      <c r="AA358" s="535"/>
      <c r="AB358" s="535"/>
      <c r="AC358" s="535"/>
      <c r="AD358" s="535"/>
      <c r="AE358" s="535"/>
      <c r="AF358" s="535"/>
      <c r="AG358" s="529"/>
      <c r="AH358" s="529"/>
      <c r="AI358" s="529"/>
      <c r="AJ358" s="529"/>
      <c r="AK358" s="529"/>
      <c r="AL358" s="529"/>
      <c r="AM358" s="529"/>
      <c r="AN358" s="529"/>
      <c r="AO358" s="529"/>
      <c r="AP358" s="529"/>
      <c r="AQ358" s="529"/>
      <c r="AR358" s="529"/>
      <c r="AS358" s="529"/>
      <c r="AT358" s="529"/>
      <c r="AU358" s="529"/>
      <c r="AV358" s="529"/>
      <c r="AW358" s="529"/>
      <c r="AX358" s="530"/>
    </row>
    <row r="359" spans="1:50" x14ac:dyDescent="0.25">
      <c r="A359" s="536" t="str">
        <f>IF(A356="","",LOOKUP(A356,BoonRef!$A$2:$A$430,BoonRef!$N$2:$N$430))</f>
        <v/>
      </c>
      <c r="B359" s="535"/>
      <c r="C359" s="535"/>
      <c r="D359" s="535"/>
      <c r="E359" s="535"/>
      <c r="F359" s="535"/>
      <c r="G359" s="535"/>
      <c r="H359" s="535"/>
      <c r="I359" s="535"/>
      <c r="J359" s="529"/>
      <c r="K359" s="529"/>
      <c r="L359" s="529"/>
      <c r="M359" s="529"/>
      <c r="N359" s="529"/>
      <c r="O359" s="529"/>
      <c r="P359" s="529"/>
      <c r="Q359" s="529"/>
      <c r="R359" s="529"/>
      <c r="S359" s="529"/>
      <c r="T359" s="529"/>
      <c r="U359" s="529"/>
      <c r="V359" s="529"/>
      <c r="W359" s="529"/>
      <c r="X359" s="529"/>
      <c r="Y359" s="530"/>
      <c r="Z359" s="536"/>
      <c r="AA359" s="535"/>
      <c r="AB359" s="535"/>
      <c r="AC359" s="535"/>
      <c r="AD359" s="535"/>
      <c r="AE359" s="535"/>
      <c r="AF359" s="535"/>
      <c r="AG359" s="529"/>
      <c r="AH359" s="529"/>
      <c r="AI359" s="529"/>
      <c r="AJ359" s="529"/>
      <c r="AK359" s="529"/>
      <c r="AL359" s="529"/>
      <c r="AM359" s="529"/>
      <c r="AN359" s="529"/>
      <c r="AO359" s="529"/>
      <c r="AP359" s="529"/>
      <c r="AQ359" s="529"/>
      <c r="AR359" s="529"/>
      <c r="AS359" s="529"/>
      <c r="AT359" s="529"/>
      <c r="AU359" s="529"/>
      <c r="AV359" s="529"/>
      <c r="AW359" s="529"/>
      <c r="AX359" s="530"/>
    </row>
    <row r="360" spans="1:50" ht="15" customHeight="1" thickBot="1" x14ac:dyDescent="0.3">
      <c r="A360" s="537"/>
      <c r="B360" s="538"/>
      <c r="C360" s="538"/>
      <c r="D360" s="538"/>
      <c r="E360" s="538"/>
      <c r="F360" s="538"/>
      <c r="G360" s="538"/>
      <c r="H360" s="538"/>
      <c r="I360" s="538"/>
      <c r="J360" s="531"/>
      <c r="K360" s="531"/>
      <c r="L360" s="531"/>
      <c r="M360" s="531"/>
      <c r="N360" s="531"/>
      <c r="O360" s="531"/>
      <c r="P360" s="531"/>
      <c r="Q360" s="531"/>
      <c r="R360" s="531"/>
      <c r="S360" s="531"/>
      <c r="T360" s="531"/>
      <c r="U360" s="531"/>
      <c r="V360" s="531"/>
      <c r="W360" s="531"/>
      <c r="X360" s="531"/>
      <c r="Y360" s="532"/>
      <c r="Z360" s="537"/>
      <c r="AA360" s="538"/>
      <c r="AB360" s="538"/>
      <c r="AC360" s="538"/>
      <c r="AD360" s="538"/>
      <c r="AE360" s="538"/>
      <c r="AF360" s="538"/>
      <c r="AG360" s="531"/>
      <c r="AH360" s="531"/>
      <c r="AI360" s="531"/>
      <c r="AJ360" s="531"/>
      <c r="AK360" s="531"/>
      <c r="AL360" s="531"/>
      <c r="AM360" s="531"/>
      <c r="AN360" s="531"/>
      <c r="AO360" s="531"/>
      <c r="AP360" s="531"/>
      <c r="AQ360" s="531"/>
      <c r="AR360" s="531"/>
      <c r="AS360" s="531"/>
      <c r="AT360" s="531"/>
      <c r="AU360" s="531"/>
      <c r="AV360" s="531"/>
      <c r="AW360" s="531"/>
      <c r="AX360" s="532"/>
    </row>
    <row r="361" spans="1:50" ht="15" customHeight="1" x14ac:dyDescent="0.25">
      <c r="A361" s="524"/>
      <c r="B361" s="525"/>
      <c r="C361" s="525"/>
      <c r="D361" s="525"/>
      <c r="E361" s="525"/>
      <c r="F361" s="525"/>
      <c r="G361" s="525"/>
      <c r="H361" s="526" t="str">
        <f>IF(A362="","",LOOKUP(A362,BoonRef!$A$2:$A$430,BoonRef!$C$2:$C$430))</f>
        <v/>
      </c>
      <c r="I361" s="526"/>
      <c r="J361" s="527"/>
      <c r="K361" s="527"/>
      <c r="L361" s="527"/>
      <c r="M361" s="527"/>
      <c r="N361" s="527"/>
      <c r="O361" s="527"/>
      <c r="P361" s="527"/>
      <c r="Q361" s="527"/>
      <c r="R361" s="527"/>
      <c r="S361" s="527"/>
      <c r="T361" s="527"/>
      <c r="U361" s="527"/>
      <c r="V361" s="527"/>
      <c r="W361" s="527"/>
      <c r="X361" s="527"/>
      <c r="Y361" s="528"/>
      <c r="Z361" s="524"/>
      <c r="AA361" s="525"/>
      <c r="AB361" s="525"/>
      <c r="AC361" s="525"/>
      <c r="AD361" s="525"/>
      <c r="AE361" s="526" t="str">
        <f>IF(Z362="","",LOOKUP(Z362,KanckRef!$A$2:$A$170,KanckRef!$E$2:$E$170))</f>
        <v/>
      </c>
      <c r="AF361" s="526"/>
      <c r="AG361" s="527"/>
      <c r="AH361" s="527"/>
      <c r="AI361" s="527"/>
      <c r="AJ361" s="527"/>
      <c r="AK361" s="527"/>
      <c r="AL361" s="527"/>
      <c r="AM361" s="527"/>
      <c r="AN361" s="527"/>
      <c r="AO361" s="527"/>
      <c r="AP361" s="527"/>
      <c r="AQ361" s="527"/>
      <c r="AR361" s="527"/>
      <c r="AS361" s="527"/>
      <c r="AT361" s="527"/>
      <c r="AU361" s="527"/>
      <c r="AV361" s="527"/>
      <c r="AW361" s="527"/>
      <c r="AX361" s="528"/>
    </row>
    <row r="362" spans="1:50" x14ac:dyDescent="0.25">
      <c r="A362" s="533"/>
      <c r="B362" s="534"/>
      <c r="C362" s="534"/>
      <c r="D362" s="534"/>
      <c r="E362" s="534"/>
      <c r="F362" s="534"/>
      <c r="G362" s="534"/>
      <c r="H362" s="535" t="str">
        <f>IF(A362="","",LOOKUP(A362,BoonRef!$A$2:$A$430,BoonRef!$P$2:$P$430))</f>
        <v/>
      </c>
      <c r="I362" s="535"/>
      <c r="J362" s="529"/>
      <c r="K362" s="529"/>
      <c r="L362" s="529"/>
      <c r="M362" s="529"/>
      <c r="N362" s="529"/>
      <c r="O362" s="529"/>
      <c r="P362" s="529"/>
      <c r="Q362" s="529"/>
      <c r="R362" s="529"/>
      <c r="S362" s="529"/>
      <c r="T362" s="529"/>
      <c r="U362" s="529"/>
      <c r="V362" s="529"/>
      <c r="W362" s="529"/>
      <c r="X362" s="529"/>
      <c r="Y362" s="530"/>
      <c r="Z362" s="533"/>
      <c r="AA362" s="534"/>
      <c r="AB362" s="534"/>
      <c r="AC362" s="534"/>
      <c r="AD362" s="534"/>
      <c r="AE362" s="535" t="str">
        <f>IF(Z362="","",LOOKUP(Z362,KanckRef!$A$2:$A$170,KanckRef!$F$2:$F$170))</f>
        <v/>
      </c>
      <c r="AF362" s="535"/>
      <c r="AG362" s="529"/>
      <c r="AH362" s="529"/>
      <c r="AI362" s="529"/>
      <c r="AJ362" s="529"/>
      <c r="AK362" s="529"/>
      <c r="AL362" s="529"/>
      <c r="AM362" s="529"/>
      <c r="AN362" s="529"/>
      <c r="AO362" s="529"/>
      <c r="AP362" s="529"/>
      <c r="AQ362" s="529"/>
      <c r="AR362" s="529"/>
      <c r="AS362" s="529"/>
      <c r="AT362" s="529"/>
      <c r="AU362" s="529"/>
      <c r="AV362" s="529"/>
      <c r="AW362" s="529"/>
      <c r="AX362" s="530"/>
    </row>
    <row r="363" spans="1:50" x14ac:dyDescent="0.25">
      <c r="A363" s="533"/>
      <c r="B363" s="534"/>
      <c r="C363" s="534"/>
      <c r="D363" s="534"/>
      <c r="E363" s="534"/>
      <c r="F363" s="534"/>
      <c r="G363" s="534"/>
      <c r="H363" s="535" t="str">
        <f>IF(A362="","",LOOKUP(A362,BoonRef!$A$2:$A$430,BoonRef!$Q$2:$Q$430))</f>
        <v/>
      </c>
      <c r="I363" s="535"/>
      <c r="J363" s="529"/>
      <c r="K363" s="529"/>
      <c r="L363" s="529"/>
      <c r="M363" s="529"/>
      <c r="N363" s="529"/>
      <c r="O363" s="529"/>
      <c r="P363" s="529"/>
      <c r="Q363" s="529"/>
      <c r="R363" s="529"/>
      <c r="S363" s="529"/>
      <c r="T363" s="529"/>
      <c r="U363" s="529"/>
      <c r="V363" s="529"/>
      <c r="W363" s="529"/>
      <c r="X363" s="529"/>
      <c r="Y363" s="530"/>
      <c r="Z363" s="533"/>
      <c r="AA363" s="534"/>
      <c r="AB363" s="534"/>
      <c r="AC363" s="534"/>
      <c r="AD363" s="534"/>
      <c r="AE363" s="535"/>
      <c r="AF363" s="535"/>
      <c r="AG363" s="529"/>
      <c r="AH363" s="529"/>
      <c r="AI363" s="529"/>
      <c r="AJ363" s="529"/>
      <c r="AK363" s="529"/>
      <c r="AL363" s="529"/>
      <c r="AM363" s="529"/>
      <c r="AN363" s="529"/>
      <c r="AO363" s="529"/>
      <c r="AP363" s="529"/>
      <c r="AQ363" s="529"/>
      <c r="AR363" s="529"/>
      <c r="AS363" s="529"/>
      <c r="AT363" s="529"/>
      <c r="AU363" s="529"/>
      <c r="AV363" s="529"/>
      <c r="AW363" s="529"/>
      <c r="AX363" s="530"/>
    </row>
    <row r="364" spans="1:50" x14ac:dyDescent="0.25">
      <c r="A364" s="536" t="str">
        <f>IF(A362="","",LOOKUP(A362,BoonRef!$A$2:$A$430,BoonRef!$O$2:$O$430))</f>
        <v/>
      </c>
      <c r="B364" s="535"/>
      <c r="C364" s="535"/>
      <c r="D364" s="535"/>
      <c r="E364" s="535"/>
      <c r="F364" s="535"/>
      <c r="G364" s="535"/>
      <c r="H364" s="535"/>
      <c r="I364" s="535"/>
      <c r="J364" s="529"/>
      <c r="K364" s="529"/>
      <c r="L364" s="529"/>
      <c r="M364" s="529"/>
      <c r="N364" s="529"/>
      <c r="O364" s="529"/>
      <c r="P364" s="529"/>
      <c r="Q364" s="529"/>
      <c r="R364" s="529"/>
      <c r="S364" s="529"/>
      <c r="T364" s="529"/>
      <c r="U364" s="529"/>
      <c r="V364" s="529"/>
      <c r="W364" s="529"/>
      <c r="X364" s="529"/>
      <c r="Y364" s="530"/>
      <c r="Z364" s="536" t="str">
        <f>IF(Z362="","",LOOKUP(Z362,KanckRef!$A$2:$A$170,KanckRef!$D$2:$D$170))</f>
        <v/>
      </c>
      <c r="AA364" s="535"/>
      <c r="AB364" s="535"/>
      <c r="AC364" s="535"/>
      <c r="AD364" s="535"/>
      <c r="AE364" s="535"/>
      <c r="AF364" s="535"/>
      <c r="AG364" s="529"/>
      <c r="AH364" s="529"/>
      <c r="AI364" s="529"/>
      <c r="AJ364" s="529"/>
      <c r="AK364" s="529"/>
      <c r="AL364" s="529"/>
      <c r="AM364" s="529"/>
      <c r="AN364" s="529"/>
      <c r="AO364" s="529"/>
      <c r="AP364" s="529"/>
      <c r="AQ364" s="529"/>
      <c r="AR364" s="529"/>
      <c r="AS364" s="529"/>
      <c r="AT364" s="529"/>
      <c r="AU364" s="529"/>
      <c r="AV364" s="529"/>
      <c r="AW364" s="529"/>
      <c r="AX364" s="530"/>
    </row>
    <row r="365" spans="1:50" ht="15" customHeight="1" x14ac:dyDescent="0.25">
      <c r="A365" s="536" t="str">
        <f>IF(A362="","",LOOKUP(A362,BoonRef!$A$2:$A$430,BoonRef!$N$2:$N$430))</f>
        <v/>
      </c>
      <c r="B365" s="535"/>
      <c r="C365" s="535"/>
      <c r="D365" s="535"/>
      <c r="E365" s="535"/>
      <c r="F365" s="535"/>
      <c r="G365" s="535"/>
      <c r="H365" s="535"/>
      <c r="I365" s="535"/>
      <c r="J365" s="529"/>
      <c r="K365" s="529"/>
      <c r="L365" s="529"/>
      <c r="M365" s="529"/>
      <c r="N365" s="529"/>
      <c r="O365" s="529"/>
      <c r="P365" s="529"/>
      <c r="Q365" s="529"/>
      <c r="R365" s="529"/>
      <c r="S365" s="529"/>
      <c r="T365" s="529"/>
      <c r="U365" s="529"/>
      <c r="V365" s="529"/>
      <c r="W365" s="529"/>
      <c r="X365" s="529"/>
      <c r="Y365" s="530"/>
      <c r="Z365" s="536"/>
      <c r="AA365" s="535"/>
      <c r="AB365" s="535"/>
      <c r="AC365" s="535"/>
      <c r="AD365" s="535"/>
      <c r="AE365" s="535"/>
      <c r="AF365" s="535"/>
      <c r="AG365" s="529"/>
      <c r="AH365" s="529"/>
      <c r="AI365" s="529"/>
      <c r="AJ365" s="529"/>
      <c r="AK365" s="529"/>
      <c r="AL365" s="529"/>
      <c r="AM365" s="529"/>
      <c r="AN365" s="529"/>
      <c r="AO365" s="529"/>
      <c r="AP365" s="529"/>
      <c r="AQ365" s="529"/>
      <c r="AR365" s="529"/>
      <c r="AS365" s="529"/>
      <c r="AT365" s="529"/>
      <c r="AU365" s="529"/>
      <c r="AV365" s="529"/>
      <c r="AW365" s="529"/>
      <c r="AX365" s="530"/>
    </row>
    <row r="366" spans="1:50" ht="15" customHeight="1" thickBot="1" x14ac:dyDescent="0.3">
      <c r="A366" s="537"/>
      <c r="B366" s="538"/>
      <c r="C366" s="538"/>
      <c r="D366" s="538"/>
      <c r="E366" s="538"/>
      <c r="F366" s="538"/>
      <c r="G366" s="538"/>
      <c r="H366" s="538"/>
      <c r="I366" s="538"/>
      <c r="J366" s="531"/>
      <c r="K366" s="531"/>
      <c r="L366" s="531"/>
      <c r="M366" s="531"/>
      <c r="N366" s="531"/>
      <c r="O366" s="531"/>
      <c r="P366" s="531"/>
      <c r="Q366" s="531"/>
      <c r="R366" s="531"/>
      <c r="S366" s="531"/>
      <c r="T366" s="531"/>
      <c r="U366" s="531"/>
      <c r="V366" s="531"/>
      <c r="W366" s="531"/>
      <c r="X366" s="531"/>
      <c r="Y366" s="532"/>
      <c r="Z366" s="537"/>
      <c r="AA366" s="538"/>
      <c r="AB366" s="538"/>
      <c r="AC366" s="538"/>
      <c r="AD366" s="538"/>
      <c r="AE366" s="538"/>
      <c r="AF366" s="538"/>
      <c r="AG366" s="531"/>
      <c r="AH366" s="531"/>
      <c r="AI366" s="531"/>
      <c r="AJ366" s="531"/>
      <c r="AK366" s="531"/>
      <c r="AL366" s="531"/>
      <c r="AM366" s="531"/>
      <c r="AN366" s="531"/>
      <c r="AO366" s="531"/>
      <c r="AP366" s="531"/>
      <c r="AQ366" s="531"/>
      <c r="AR366" s="531"/>
      <c r="AS366" s="531"/>
      <c r="AT366" s="531"/>
      <c r="AU366" s="531"/>
      <c r="AV366" s="531"/>
      <c r="AW366" s="531"/>
      <c r="AX366" s="532"/>
    </row>
    <row r="367" spans="1:50" x14ac:dyDescent="0.25">
      <c r="A367" s="524"/>
      <c r="B367" s="525"/>
      <c r="C367" s="525"/>
      <c r="D367" s="525"/>
      <c r="E367" s="525"/>
      <c r="F367" s="525"/>
      <c r="G367" s="525"/>
      <c r="H367" s="526" t="str">
        <f>IF(A368="","",LOOKUP(A368,BoonRef!$A$2:$A$430,BoonRef!$C$2:$C$430))</f>
        <v/>
      </c>
      <c r="I367" s="526"/>
      <c r="J367" s="527"/>
      <c r="K367" s="527"/>
      <c r="L367" s="527"/>
      <c r="M367" s="527"/>
      <c r="N367" s="527"/>
      <c r="O367" s="527"/>
      <c r="P367" s="527"/>
      <c r="Q367" s="527"/>
      <c r="R367" s="527"/>
      <c r="S367" s="527"/>
      <c r="T367" s="527"/>
      <c r="U367" s="527"/>
      <c r="V367" s="527"/>
      <c r="W367" s="527"/>
      <c r="X367" s="527"/>
      <c r="Y367" s="528"/>
      <c r="Z367" s="524"/>
      <c r="AA367" s="525"/>
      <c r="AB367" s="525"/>
      <c r="AC367" s="525"/>
      <c r="AD367" s="525"/>
      <c r="AE367" s="526" t="str">
        <f>IF(Z368="","",LOOKUP(Z368,KanckRef!$A$2:$A$170,KanckRef!$E$2:$E$170))</f>
        <v/>
      </c>
      <c r="AF367" s="526"/>
      <c r="AG367" s="527"/>
      <c r="AH367" s="527"/>
      <c r="AI367" s="527"/>
      <c r="AJ367" s="527"/>
      <c r="AK367" s="527"/>
      <c r="AL367" s="527"/>
      <c r="AM367" s="527"/>
      <c r="AN367" s="527"/>
      <c r="AO367" s="527"/>
      <c r="AP367" s="527"/>
      <c r="AQ367" s="527"/>
      <c r="AR367" s="527"/>
      <c r="AS367" s="527"/>
      <c r="AT367" s="527"/>
      <c r="AU367" s="527"/>
      <c r="AV367" s="527"/>
      <c r="AW367" s="527"/>
      <c r="AX367" s="528"/>
    </row>
    <row r="368" spans="1:50" x14ac:dyDescent="0.25">
      <c r="A368" s="533"/>
      <c r="B368" s="534"/>
      <c r="C368" s="534"/>
      <c r="D368" s="534"/>
      <c r="E368" s="534"/>
      <c r="F368" s="534"/>
      <c r="G368" s="534"/>
      <c r="H368" s="535" t="str">
        <f>IF(A368="","",LOOKUP(A368,BoonRef!$A$2:$A$430,BoonRef!$P$2:$P$430))</f>
        <v/>
      </c>
      <c r="I368" s="535"/>
      <c r="J368" s="529"/>
      <c r="K368" s="529"/>
      <c r="L368" s="529"/>
      <c r="M368" s="529"/>
      <c r="N368" s="529"/>
      <c r="O368" s="529"/>
      <c r="P368" s="529"/>
      <c r="Q368" s="529"/>
      <c r="R368" s="529"/>
      <c r="S368" s="529"/>
      <c r="T368" s="529"/>
      <c r="U368" s="529"/>
      <c r="V368" s="529"/>
      <c r="W368" s="529"/>
      <c r="X368" s="529"/>
      <c r="Y368" s="530"/>
      <c r="Z368" s="533"/>
      <c r="AA368" s="534"/>
      <c r="AB368" s="534"/>
      <c r="AC368" s="534"/>
      <c r="AD368" s="534"/>
      <c r="AE368" s="535" t="str">
        <f>IF(Z368="","",LOOKUP(Z368,KanckRef!$A$2:$A$170,KanckRef!$F$2:$F$170))</f>
        <v/>
      </c>
      <c r="AF368" s="535"/>
      <c r="AG368" s="529"/>
      <c r="AH368" s="529"/>
      <c r="AI368" s="529"/>
      <c r="AJ368" s="529"/>
      <c r="AK368" s="529"/>
      <c r="AL368" s="529"/>
      <c r="AM368" s="529"/>
      <c r="AN368" s="529"/>
      <c r="AO368" s="529"/>
      <c r="AP368" s="529"/>
      <c r="AQ368" s="529"/>
      <c r="AR368" s="529"/>
      <c r="AS368" s="529"/>
      <c r="AT368" s="529"/>
      <c r="AU368" s="529"/>
      <c r="AV368" s="529"/>
      <c r="AW368" s="529"/>
      <c r="AX368" s="530"/>
    </row>
    <row r="369" spans="1:50" x14ac:dyDescent="0.25">
      <c r="A369" s="533"/>
      <c r="B369" s="534"/>
      <c r="C369" s="534"/>
      <c r="D369" s="534"/>
      <c r="E369" s="534"/>
      <c r="F369" s="534"/>
      <c r="G369" s="534"/>
      <c r="H369" s="535" t="str">
        <f>IF(A368="","",LOOKUP(A368,BoonRef!$A$2:$A$430,BoonRef!$Q$2:$Q$430))</f>
        <v/>
      </c>
      <c r="I369" s="535"/>
      <c r="J369" s="529"/>
      <c r="K369" s="529"/>
      <c r="L369" s="529"/>
      <c r="M369" s="529"/>
      <c r="N369" s="529"/>
      <c r="O369" s="529"/>
      <c r="P369" s="529"/>
      <c r="Q369" s="529"/>
      <c r="R369" s="529"/>
      <c r="S369" s="529"/>
      <c r="T369" s="529"/>
      <c r="U369" s="529"/>
      <c r="V369" s="529"/>
      <c r="W369" s="529"/>
      <c r="X369" s="529"/>
      <c r="Y369" s="530"/>
      <c r="Z369" s="533"/>
      <c r="AA369" s="534"/>
      <c r="AB369" s="534"/>
      <c r="AC369" s="534"/>
      <c r="AD369" s="534"/>
      <c r="AE369" s="535"/>
      <c r="AF369" s="535"/>
      <c r="AG369" s="529"/>
      <c r="AH369" s="529"/>
      <c r="AI369" s="529"/>
      <c r="AJ369" s="529"/>
      <c r="AK369" s="529"/>
      <c r="AL369" s="529"/>
      <c r="AM369" s="529"/>
      <c r="AN369" s="529"/>
      <c r="AO369" s="529"/>
      <c r="AP369" s="529"/>
      <c r="AQ369" s="529"/>
      <c r="AR369" s="529"/>
      <c r="AS369" s="529"/>
      <c r="AT369" s="529"/>
      <c r="AU369" s="529"/>
      <c r="AV369" s="529"/>
      <c r="AW369" s="529"/>
      <c r="AX369" s="530"/>
    </row>
    <row r="370" spans="1:50" ht="15" customHeight="1" x14ac:dyDescent="0.25">
      <c r="A370" s="536" t="str">
        <f>IF(A368="","",LOOKUP(A368,BoonRef!$A$2:$A$430,BoonRef!$O$2:$O$430))</f>
        <v/>
      </c>
      <c r="B370" s="535"/>
      <c r="C370" s="535"/>
      <c r="D370" s="535"/>
      <c r="E370" s="535"/>
      <c r="F370" s="535"/>
      <c r="G370" s="535"/>
      <c r="H370" s="535"/>
      <c r="I370" s="535"/>
      <c r="J370" s="529"/>
      <c r="K370" s="529"/>
      <c r="L370" s="529"/>
      <c r="M370" s="529"/>
      <c r="N370" s="529"/>
      <c r="O370" s="529"/>
      <c r="P370" s="529"/>
      <c r="Q370" s="529"/>
      <c r="R370" s="529"/>
      <c r="S370" s="529"/>
      <c r="T370" s="529"/>
      <c r="U370" s="529"/>
      <c r="V370" s="529"/>
      <c r="W370" s="529"/>
      <c r="X370" s="529"/>
      <c r="Y370" s="530"/>
      <c r="Z370" s="536" t="str">
        <f>IF(Z368="","",LOOKUP(Z368,KanckRef!$A$2:$A$170,KanckRef!$D$2:$D$170))</f>
        <v/>
      </c>
      <c r="AA370" s="535"/>
      <c r="AB370" s="535"/>
      <c r="AC370" s="535"/>
      <c r="AD370" s="535"/>
      <c r="AE370" s="535"/>
      <c r="AF370" s="535"/>
      <c r="AG370" s="529"/>
      <c r="AH370" s="529"/>
      <c r="AI370" s="529"/>
      <c r="AJ370" s="529"/>
      <c r="AK370" s="529"/>
      <c r="AL370" s="529"/>
      <c r="AM370" s="529"/>
      <c r="AN370" s="529"/>
      <c r="AO370" s="529"/>
      <c r="AP370" s="529"/>
      <c r="AQ370" s="529"/>
      <c r="AR370" s="529"/>
      <c r="AS370" s="529"/>
      <c r="AT370" s="529"/>
      <c r="AU370" s="529"/>
      <c r="AV370" s="529"/>
      <c r="AW370" s="529"/>
      <c r="AX370" s="530"/>
    </row>
    <row r="371" spans="1:50" ht="15" customHeight="1" x14ac:dyDescent="0.25">
      <c r="A371" s="536" t="str">
        <f>IF(A368="","",LOOKUP(A368,BoonRef!$A$2:$A$430,BoonRef!$N$2:$N$430))</f>
        <v/>
      </c>
      <c r="B371" s="535"/>
      <c r="C371" s="535"/>
      <c r="D371" s="535"/>
      <c r="E371" s="535"/>
      <c r="F371" s="535"/>
      <c r="G371" s="535"/>
      <c r="H371" s="535"/>
      <c r="I371" s="535"/>
      <c r="J371" s="529"/>
      <c r="K371" s="529"/>
      <c r="L371" s="529"/>
      <c r="M371" s="529"/>
      <c r="N371" s="529"/>
      <c r="O371" s="529"/>
      <c r="P371" s="529"/>
      <c r="Q371" s="529"/>
      <c r="R371" s="529"/>
      <c r="S371" s="529"/>
      <c r="T371" s="529"/>
      <c r="U371" s="529"/>
      <c r="V371" s="529"/>
      <c r="W371" s="529"/>
      <c r="X371" s="529"/>
      <c r="Y371" s="530"/>
      <c r="Z371" s="536"/>
      <c r="AA371" s="535"/>
      <c r="AB371" s="535"/>
      <c r="AC371" s="535"/>
      <c r="AD371" s="535"/>
      <c r="AE371" s="535"/>
      <c r="AF371" s="535"/>
      <c r="AG371" s="529"/>
      <c r="AH371" s="529"/>
      <c r="AI371" s="529"/>
      <c r="AJ371" s="529"/>
      <c r="AK371" s="529"/>
      <c r="AL371" s="529"/>
      <c r="AM371" s="529"/>
      <c r="AN371" s="529"/>
      <c r="AO371" s="529"/>
      <c r="AP371" s="529"/>
      <c r="AQ371" s="529"/>
      <c r="AR371" s="529"/>
      <c r="AS371" s="529"/>
      <c r="AT371" s="529"/>
      <c r="AU371" s="529"/>
      <c r="AV371" s="529"/>
      <c r="AW371" s="529"/>
      <c r="AX371" s="530"/>
    </row>
    <row r="372" spans="1:50" ht="15.75" thickBot="1" x14ac:dyDescent="0.3">
      <c r="A372" s="537"/>
      <c r="B372" s="538"/>
      <c r="C372" s="538"/>
      <c r="D372" s="538"/>
      <c r="E372" s="538"/>
      <c r="F372" s="538"/>
      <c r="G372" s="538"/>
      <c r="H372" s="538"/>
      <c r="I372" s="538"/>
      <c r="J372" s="531"/>
      <c r="K372" s="531"/>
      <c r="L372" s="531"/>
      <c r="M372" s="531"/>
      <c r="N372" s="531"/>
      <c r="O372" s="531"/>
      <c r="P372" s="531"/>
      <c r="Q372" s="531"/>
      <c r="R372" s="531"/>
      <c r="S372" s="531"/>
      <c r="T372" s="531"/>
      <c r="U372" s="531"/>
      <c r="V372" s="531"/>
      <c r="W372" s="531"/>
      <c r="X372" s="531"/>
      <c r="Y372" s="532"/>
      <c r="Z372" s="537"/>
      <c r="AA372" s="538"/>
      <c r="AB372" s="538"/>
      <c r="AC372" s="538"/>
      <c r="AD372" s="538"/>
      <c r="AE372" s="538"/>
      <c r="AF372" s="538"/>
      <c r="AG372" s="531"/>
      <c r="AH372" s="531"/>
      <c r="AI372" s="531"/>
      <c r="AJ372" s="531"/>
      <c r="AK372" s="531"/>
      <c r="AL372" s="531"/>
      <c r="AM372" s="531"/>
      <c r="AN372" s="531"/>
      <c r="AO372" s="531"/>
      <c r="AP372" s="531"/>
      <c r="AQ372" s="531"/>
      <c r="AR372" s="531"/>
      <c r="AS372" s="531"/>
      <c r="AT372" s="531"/>
      <c r="AU372" s="531"/>
      <c r="AV372" s="531"/>
      <c r="AW372" s="531"/>
      <c r="AX372" s="532"/>
    </row>
    <row r="373" spans="1:50" x14ac:dyDescent="0.25">
      <c r="A373" s="524"/>
      <c r="B373" s="525"/>
      <c r="C373" s="525"/>
      <c r="D373" s="525"/>
      <c r="E373" s="525"/>
      <c r="F373" s="525"/>
      <c r="G373" s="525"/>
      <c r="H373" s="526" t="str">
        <f>IF(A374="","",LOOKUP(A374,BoonRef!$A$2:$A$430,BoonRef!$C$2:$C$430))</f>
        <v/>
      </c>
      <c r="I373" s="526"/>
      <c r="J373" s="527"/>
      <c r="K373" s="527"/>
      <c r="L373" s="527"/>
      <c r="M373" s="527"/>
      <c r="N373" s="527"/>
      <c r="O373" s="527"/>
      <c r="P373" s="527"/>
      <c r="Q373" s="527"/>
      <c r="R373" s="527"/>
      <c r="S373" s="527"/>
      <c r="T373" s="527"/>
      <c r="U373" s="527"/>
      <c r="V373" s="527"/>
      <c r="W373" s="527"/>
      <c r="X373" s="527"/>
      <c r="Y373" s="528"/>
      <c r="Z373" s="524"/>
      <c r="AA373" s="525"/>
      <c r="AB373" s="525"/>
      <c r="AC373" s="525"/>
      <c r="AD373" s="525"/>
      <c r="AE373" s="526" t="str">
        <f>IF(Z374="","",LOOKUP(Z374,KanckRef!$A$2:$A$170,KanckRef!$E$2:$E$170))</f>
        <v/>
      </c>
      <c r="AF373" s="526"/>
      <c r="AG373" s="527"/>
      <c r="AH373" s="527"/>
      <c r="AI373" s="527"/>
      <c r="AJ373" s="527"/>
      <c r="AK373" s="527"/>
      <c r="AL373" s="527"/>
      <c r="AM373" s="527"/>
      <c r="AN373" s="527"/>
      <c r="AO373" s="527"/>
      <c r="AP373" s="527"/>
      <c r="AQ373" s="527"/>
      <c r="AR373" s="527"/>
      <c r="AS373" s="527"/>
      <c r="AT373" s="527"/>
      <c r="AU373" s="527"/>
      <c r="AV373" s="527"/>
      <c r="AW373" s="527"/>
      <c r="AX373" s="528"/>
    </row>
    <row r="374" spans="1:50" x14ac:dyDescent="0.25">
      <c r="A374" s="533"/>
      <c r="B374" s="534"/>
      <c r="C374" s="534"/>
      <c r="D374" s="534"/>
      <c r="E374" s="534"/>
      <c r="F374" s="534"/>
      <c r="G374" s="534"/>
      <c r="H374" s="535" t="str">
        <f>IF(A374="","",LOOKUP(A374,BoonRef!$A$2:$A$430,BoonRef!$P$2:$P$430))</f>
        <v/>
      </c>
      <c r="I374" s="535"/>
      <c r="J374" s="529"/>
      <c r="K374" s="529"/>
      <c r="L374" s="529"/>
      <c r="M374" s="529"/>
      <c r="N374" s="529"/>
      <c r="O374" s="529"/>
      <c r="P374" s="529"/>
      <c r="Q374" s="529"/>
      <c r="R374" s="529"/>
      <c r="S374" s="529"/>
      <c r="T374" s="529"/>
      <c r="U374" s="529"/>
      <c r="V374" s="529"/>
      <c r="W374" s="529"/>
      <c r="X374" s="529"/>
      <c r="Y374" s="530"/>
      <c r="Z374" s="533"/>
      <c r="AA374" s="534"/>
      <c r="AB374" s="534"/>
      <c r="AC374" s="534"/>
      <c r="AD374" s="534"/>
      <c r="AE374" s="535" t="str">
        <f>IF(Z374="","",LOOKUP(Z374,KanckRef!$A$2:$A$170,KanckRef!$F$2:$F$170))</f>
        <v/>
      </c>
      <c r="AF374" s="535"/>
      <c r="AG374" s="529"/>
      <c r="AH374" s="529"/>
      <c r="AI374" s="529"/>
      <c r="AJ374" s="529"/>
      <c r="AK374" s="529"/>
      <c r="AL374" s="529"/>
      <c r="AM374" s="529"/>
      <c r="AN374" s="529"/>
      <c r="AO374" s="529"/>
      <c r="AP374" s="529"/>
      <c r="AQ374" s="529"/>
      <c r="AR374" s="529"/>
      <c r="AS374" s="529"/>
      <c r="AT374" s="529"/>
      <c r="AU374" s="529"/>
      <c r="AV374" s="529"/>
      <c r="AW374" s="529"/>
      <c r="AX374" s="530"/>
    </row>
    <row r="375" spans="1:50" ht="15" customHeight="1" x14ac:dyDescent="0.25">
      <c r="A375" s="533"/>
      <c r="B375" s="534"/>
      <c r="C375" s="534"/>
      <c r="D375" s="534"/>
      <c r="E375" s="534"/>
      <c r="F375" s="534"/>
      <c r="G375" s="534"/>
      <c r="H375" s="535" t="str">
        <f>IF(A374="","",LOOKUP(A374,BoonRef!$A$2:$A$430,BoonRef!$Q$2:$Q$430))</f>
        <v/>
      </c>
      <c r="I375" s="535"/>
      <c r="J375" s="529"/>
      <c r="K375" s="529"/>
      <c r="L375" s="529"/>
      <c r="M375" s="529"/>
      <c r="N375" s="529"/>
      <c r="O375" s="529"/>
      <c r="P375" s="529"/>
      <c r="Q375" s="529"/>
      <c r="R375" s="529"/>
      <c r="S375" s="529"/>
      <c r="T375" s="529"/>
      <c r="U375" s="529"/>
      <c r="V375" s="529"/>
      <c r="W375" s="529"/>
      <c r="X375" s="529"/>
      <c r="Y375" s="530"/>
      <c r="Z375" s="533"/>
      <c r="AA375" s="534"/>
      <c r="AB375" s="534"/>
      <c r="AC375" s="534"/>
      <c r="AD375" s="534"/>
      <c r="AE375" s="535"/>
      <c r="AF375" s="535"/>
      <c r="AG375" s="529"/>
      <c r="AH375" s="529"/>
      <c r="AI375" s="529"/>
      <c r="AJ375" s="529"/>
      <c r="AK375" s="529"/>
      <c r="AL375" s="529"/>
      <c r="AM375" s="529"/>
      <c r="AN375" s="529"/>
      <c r="AO375" s="529"/>
      <c r="AP375" s="529"/>
      <c r="AQ375" s="529"/>
      <c r="AR375" s="529"/>
      <c r="AS375" s="529"/>
      <c r="AT375" s="529"/>
      <c r="AU375" s="529"/>
      <c r="AV375" s="529"/>
      <c r="AW375" s="529"/>
      <c r="AX375" s="530"/>
    </row>
    <row r="376" spans="1:50" ht="15" customHeight="1" x14ac:dyDescent="0.25">
      <c r="A376" s="536" t="str">
        <f>IF(A374="","",LOOKUP(A374,BoonRef!$A$2:$A$430,BoonRef!$O$2:$O$430))</f>
        <v/>
      </c>
      <c r="B376" s="535"/>
      <c r="C376" s="535"/>
      <c r="D376" s="535"/>
      <c r="E376" s="535"/>
      <c r="F376" s="535"/>
      <c r="G376" s="535"/>
      <c r="H376" s="535"/>
      <c r="I376" s="535"/>
      <c r="J376" s="529"/>
      <c r="K376" s="529"/>
      <c r="L376" s="529"/>
      <c r="M376" s="529"/>
      <c r="N376" s="529"/>
      <c r="O376" s="529"/>
      <c r="P376" s="529"/>
      <c r="Q376" s="529"/>
      <c r="R376" s="529"/>
      <c r="S376" s="529"/>
      <c r="T376" s="529"/>
      <c r="U376" s="529"/>
      <c r="V376" s="529"/>
      <c r="W376" s="529"/>
      <c r="X376" s="529"/>
      <c r="Y376" s="530"/>
      <c r="Z376" s="536" t="str">
        <f>IF(Z374="","",LOOKUP(Z374,KanckRef!$A$2:$A$170,KanckRef!$D$2:$D$170))</f>
        <v/>
      </c>
      <c r="AA376" s="535"/>
      <c r="AB376" s="535"/>
      <c r="AC376" s="535"/>
      <c r="AD376" s="535"/>
      <c r="AE376" s="535"/>
      <c r="AF376" s="535"/>
      <c r="AG376" s="529"/>
      <c r="AH376" s="529"/>
      <c r="AI376" s="529"/>
      <c r="AJ376" s="529"/>
      <c r="AK376" s="529"/>
      <c r="AL376" s="529"/>
      <c r="AM376" s="529"/>
      <c r="AN376" s="529"/>
      <c r="AO376" s="529"/>
      <c r="AP376" s="529"/>
      <c r="AQ376" s="529"/>
      <c r="AR376" s="529"/>
      <c r="AS376" s="529"/>
      <c r="AT376" s="529"/>
      <c r="AU376" s="529"/>
      <c r="AV376" s="529"/>
      <c r="AW376" s="529"/>
      <c r="AX376" s="530"/>
    </row>
    <row r="377" spans="1:50" x14ac:dyDescent="0.25">
      <c r="A377" s="536" t="str">
        <f>IF(A374="","",LOOKUP(A374,BoonRef!$A$2:$A$430,BoonRef!$N$2:$N$430))</f>
        <v/>
      </c>
      <c r="B377" s="535"/>
      <c r="C377" s="535"/>
      <c r="D377" s="535"/>
      <c r="E377" s="535"/>
      <c r="F377" s="535"/>
      <c r="G377" s="535"/>
      <c r="H377" s="535"/>
      <c r="I377" s="535"/>
      <c r="J377" s="529"/>
      <c r="K377" s="529"/>
      <c r="L377" s="529"/>
      <c r="M377" s="529"/>
      <c r="N377" s="529"/>
      <c r="O377" s="529"/>
      <c r="P377" s="529"/>
      <c r="Q377" s="529"/>
      <c r="R377" s="529"/>
      <c r="S377" s="529"/>
      <c r="T377" s="529"/>
      <c r="U377" s="529"/>
      <c r="V377" s="529"/>
      <c r="W377" s="529"/>
      <c r="X377" s="529"/>
      <c r="Y377" s="530"/>
      <c r="Z377" s="536"/>
      <c r="AA377" s="535"/>
      <c r="AB377" s="535"/>
      <c r="AC377" s="535"/>
      <c r="AD377" s="535"/>
      <c r="AE377" s="535"/>
      <c r="AF377" s="535"/>
      <c r="AG377" s="529"/>
      <c r="AH377" s="529"/>
      <c r="AI377" s="529"/>
      <c r="AJ377" s="529"/>
      <c r="AK377" s="529"/>
      <c r="AL377" s="529"/>
      <c r="AM377" s="529"/>
      <c r="AN377" s="529"/>
      <c r="AO377" s="529"/>
      <c r="AP377" s="529"/>
      <c r="AQ377" s="529"/>
      <c r="AR377" s="529"/>
      <c r="AS377" s="529"/>
      <c r="AT377" s="529"/>
      <c r="AU377" s="529"/>
      <c r="AV377" s="529"/>
      <c r="AW377" s="529"/>
      <c r="AX377" s="530"/>
    </row>
    <row r="378" spans="1:50" ht="15.75" thickBot="1" x14ac:dyDescent="0.3">
      <c r="A378" s="537"/>
      <c r="B378" s="538"/>
      <c r="C378" s="538"/>
      <c r="D378" s="538"/>
      <c r="E378" s="538"/>
      <c r="F378" s="538"/>
      <c r="G378" s="538"/>
      <c r="H378" s="538"/>
      <c r="I378" s="538"/>
      <c r="J378" s="531"/>
      <c r="K378" s="531"/>
      <c r="L378" s="531"/>
      <c r="M378" s="531"/>
      <c r="N378" s="531"/>
      <c r="O378" s="531"/>
      <c r="P378" s="531"/>
      <c r="Q378" s="531"/>
      <c r="R378" s="531"/>
      <c r="S378" s="531"/>
      <c r="T378" s="531"/>
      <c r="U378" s="531"/>
      <c r="V378" s="531"/>
      <c r="W378" s="531"/>
      <c r="X378" s="531"/>
      <c r="Y378" s="532"/>
      <c r="Z378" s="537"/>
      <c r="AA378" s="538"/>
      <c r="AB378" s="538"/>
      <c r="AC378" s="538"/>
      <c r="AD378" s="538"/>
      <c r="AE378" s="538"/>
      <c r="AF378" s="538"/>
      <c r="AG378" s="531"/>
      <c r="AH378" s="531"/>
      <c r="AI378" s="531"/>
      <c r="AJ378" s="531"/>
      <c r="AK378" s="531"/>
      <c r="AL378" s="531"/>
      <c r="AM378" s="531"/>
      <c r="AN378" s="531"/>
      <c r="AO378" s="531"/>
      <c r="AP378" s="531"/>
      <c r="AQ378" s="531"/>
      <c r="AR378" s="531"/>
      <c r="AS378" s="531"/>
      <c r="AT378" s="531"/>
      <c r="AU378" s="531"/>
      <c r="AV378" s="531"/>
      <c r="AW378" s="531"/>
      <c r="AX378" s="532"/>
    </row>
    <row r="379" spans="1:50" x14ac:dyDescent="0.25">
      <c r="A379" s="524"/>
      <c r="B379" s="525"/>
      <c r="C379" s="525"/>
      <c r="D379" s="525"/>
      <c r="E379" s="525"/>
      <c r="F379" s="525"/>
      <c r="G379" s="525"/>
      <c r="H379" s="526" t="str">
        <f>IF(A380="","",LOOKUP(A380,BoonRef!$A$2:$A$430,BoonRef!$C$2:$C$430))</f>
        <v/>
      </c>
      <c r="I379" s="526"/>
      <c r="J379" s="527"/>
      <c r="K379" s="527"/>
      <c r="L379" s="527"/>
      <c r="M379" s="527"/>
      <c r="N379" s="527"/>
      <c r="O379" s="527"/>
      <c r="P379" s="527"/>
      <c r="Q379" s="527"/>
      <c r="R379" s="527"/>
      <c r="S379" s="527"/>
      <c r="T379" s="527"/>
      <c r="U379" s="527"/>
      <c r="V379" s="527"/>
      <c r="W379" s="527"/>
      <c r="X379" s="527"/>
      <c r="Y379" s="528"/>
      <c r="Z379" s="524"/>
      <c r="AA379" s="525"/>
      <c r="AB379" s="525"/>
      <c r="AC379" s="525"/>
      <c r="AD379" s="525"/>
      <c r="AE379" s="526" t="str">
        <f>IF(Z380="","",LOOKUP(Z380,KanckRef!$A$2:$A$170,KanckRef!$E$2:$E$170))</f>
        <v/>
      </c>
      <c r="AF379" s="526"/>
      <c r="AG379" s="527"/>
      <c r="AH379" s="527"/>
      <c r="AI379" s="527"/>
      <c r="AJ379" s="527"/>
      <c r="AK379" s="527"/>
      <c r="AL379" s="527"/>
      <c r="AM379" s="527"/>
      <c r="AN379" s="527"/>
      <c r="AO379" s="527"/>
      <c r="AP379" s="527"/>
      <c r="AQ379" s="527"/>
      <c r="AR379" s="527"/>
      <c r="AS379" s="527"/>
      <c r="AT379" s="527"/>
      <c r="AU379" s="527"/>
      <c r="AV379" s="527"/>
      <c r="AW379" s="527"/>
      <c r="AX379" s="528"/>
    </row>
    <row r="380" spans="1:50" ht="15" customHeight="1" x14ac:dyDescent="0.25">
      <c r="A380" s="533"/>
      <c r="B380" s="534"/>
      <c r="C380" s="534"/>
      <c r="D380" s="534"/>
      <c r="E380" s="534"/>
      <c r="F380" s="534"/>
      <c r="G380" s="534"/>
      <c r="H380" s="535" t="str">
        <f>IF(A380="","",LOOKUP(A380,BoonRef!$A$2:$A$430,BoonRef!$P$2:$P$430))</f>
        <v/>
      </c>
      <c r="I380" s="535"/>
      <c r="J380" s="529"/>
      <c r="K380" s="529"/>
      <c r="L380" s="529"/>
      <c r="M380" s="529"/>
      <c r="N380" s="529"/>
      <c r="O380" s="529"/>
      <c r="P380" s="529"/>
      <c r="Q380" s="529"/>
      <c r="R380" s="529"/>
      <c r="S380" s="529"/>
      <c r="T380" s="529"/>
      <c r="U380" s="529"/>
      <c r="V380" s="529"/>
      <c r="W380" s="529"/>
      <c r="X380" s="529"/>
      <c r="Y380" s="530"/>
      <c r="Z380" s="533"/>
      <c r="AA380" s="534"/>
      <c r="AB380" s="534"/>
      <c r="AC380" s="534"/>
      <c r="AD380" s="534"/>
      <c r="AE380" s="535" t="str">
        <f>IF(Z380="","",LOOKUP(Z380,KanckRef!$A$2:$A$170,KanckRef!$F$2:$F$170))</f>
        <v/>
      </c>
      <c r="AF380" s="535"/>
      <c r="AG380" s="529"/>
      <c r="AH380" s="529"/>
      <c r="AI380" s="529"/>
      <c r="AJ380" s="529"/>
      <c r="AK380" s="529"/>
      <c r="AL380" s="529"/>
      <c r="AM380" s="529"/>
      <c r="AN380" s="529"/>
      <c r="AO380" s="529"/>
      <c r="AP380" s="529"/>
      <c r="AQ380" s="529"/>
      <c r="AR380" s="529"/>
      <c r="AS380" s="529"/>
      <c r="AT380" s="529"/>
      <c r="AU380" s="529"/>
      <c r="AV380" s="529"/>
      <c r="AW380" s="529"/>
      <c r="AX380" s="530"/>
    </row>
    <row r="381" spans="1:50" ht="15" customHeight="1" x14ac:dyDescent="0.25">
      <c r="A381" s="533"/>
      <c r="B381" s="534"/>
      <c r="C381" s="534"/>
      <c r="D381" s="534"/>
      <c r="E381" s="534"/>
      <c r="F381" s="534"/>
      <c r="G381" s="534"/>
      <c r="H381" s="535" t="str">
        <f>IF(A380="","",LOOKUP(A380,BoonRef!$A$2:$A$430,BoonRef!$Q$2:$Q$430))</f>
        <v/>
      </c>
      <c r="I381" s="535"/>
      <c r="J381" s="529"/>
      <c r="K381" s="529"/>
      <c r="L381" s="529"/>
      <c r="M381" s="529"/>
      <c r="N381" s="529"/>
      <c r="O381" s="529"/>
      <c r="P381" s="529"/>
      <c r="Q381" s="529"/>
      <c r="R381" s="529"/>
      <c r="S381" s="529"/>
      <c r="T381" s="529"/>
      <c r="U381" s="529"/>
      <c r="V381" s="529"/>
      <c r="W381" s="529"/>
      <c r="X381" s="529"/>
      <c r="Y381" s="530"/>
      <c r="Z381" s="533"/>
      <c r="AA381" s="534"/>
      <c r="AB381" s="534"/>
      <c r="AC381" s="534"/>
      <c r="AD381" s="534"/>
      <c r="AE381" s="535"/>
      <c r="AF381" s="535"/>
      <c r="AG381" s="529"/>
      <c r="AH381" s="529"/>
      <c r="AI381" s="529"/>
      <c r="AJ381" s="529"/>
      <c r="AK381" s="529"/>
      <c r="AL381" s="529"/>
      <c r="AM381" s="529"/>
      <c r="AN381" s="529"/>
      <c r="AO381" s="529"/>
      <c r="AP381" s="529"/>
      <c r="AQ381" s="529"/>
      <c r="AR381" s="529"/>
      <c r="AS381" s="529"/>
      <c r="AT381" s="529"/>
      <c r="AU381" s="529"/>
      <c r="AV381" s="529"/>
      <c r="AW381" s="529"/>
      <c r="AX381" s="530"/>
    </row>
    <row r="382" spans="1:50" x14ac:dyDescent="0.25">
      <c r="A382" s="536" t="str">
        <f>IF(A380="","",LOOKUP(A380,BoonRef!$A$2:$A$430,BoonRef!$O$2:$O$430))</f>
        <v/>
      </c>
      <c r="B382" s="535"/>
      <c r="C382" s="535"/>
      <c r="D382" s="535"/>
      <c r="E382" s="535"/>
      <c r="F382" s="535"/>
      <c r="G382" s="535"/>
      <c r="H382" s="535"/>
      <c r="I382" s="535"/>
      <c r="J382" s="529"/>
      <c r="K382" s="529"/>
      <c r="L382" s="529"/>
      <c r="M382" s="529"/>
      <c r="N382" s="529"/>
      <c r="O382" s="529"/>
      <c r="P382" s="529"/>
      <c r="Q382" s="529"/>
      <c r="R382" s="529"/>
      <c r="S382" s="529"/>
      <c r="T382" s="529"/>
      <c r="U382" s="529"/>
      <c r="V382" s="529"/>
      <c r="W382" s="529"/>
      <c r="X382" s="529"/>
      <c r="Y382" s="530"/>
      <c r="Z382" s="536" t="str">
        <f>IF(Z380="","",LOOKUP(Z380,KanckRef!$A$2:$A$170,KanckRef!$D$2:$D$170))</f>
        <v/>
      </c>
      <c r="AA382" s="535"/>
      <c r="AB382" s="535"/>
      <c r="AC382" s="535"/>
      <c r="AD382" s="535"/>
      <c r="AE382" s="535"/>
      <c r="AF382" s="535"/>
      <c r="AG382" s="529"/>
      <c r="AH382" s="529"/>
      <c r="AI382" s="529"/>
      <c r="AJ382" s="529"/>
      <c r="AK382" s="529"/>
      <c r="AL382" s="529"/>
      <c r="AM382" s="529"/>
      <c r="AN382" s="529"/>
      <c r="AO382" s="529"/>
      <c r="AP382" s="529"/>
      <c r="AQ382" s="529"/>
      <c r="AR382" s="529"/>
      <c r="AS382" s="529"/>
      <c r="AT382" s="529"/>
      <c r="AU382" s="529"/>
      <c r="AV382" s="529"/>
      <c r="AW382" s="529"/>
      <c r="AX382" s="530"/>
    </row>
    <row r="383" spans="1:50" x14ac:dyDescent="0.25">
      <c r="A383" s="536" t="str">
        <f>IF(A380="","",LOOKUP(A380,BoonRef!$A$2:$A$430,BoonRef!$N$2:$N$430))</f>
        <v/>
      </c>
      <c r="B383" s="535"/>
      <c r="C383" s="535"/>
      <c r="D383" s="535"/>
      <c r="E383" s="535"/>
      <c r="F383" s="535"/>
      <c r="G383" s="535"/>
      <c r="H383" s="535"/>
      <c r="I383" s="535"/>
      <c r="J383" s="529"/>
      <c r="K383" s="529"/>
      <c r="L383" s="529"/>
      <c r="M383" s="529"/>
      <c r="N383" s="529"/>
      <c r="O383" s="529"/>
      <c r="P383" s="529"/>
      <c r="Q383" s="529"/>
      <c r="R383" s="529"/>
      <c r="S383" s="529"/>
      <c r="T383" s="529"/>
      <c r="U383" s="529"/>
      <c r="V383" s="529"/>
      <c r="W383" s="529"/>
      <c r="X383" s="529"/>
      <c r="Y383" s="530"/>
      <c r="Z383" s="536"/>
      <c r="AA383" s="535"/>
      <c r="AB383" s="535"/>
      <c r="AC383" s="535"/>
      <c r="AD383" s="535"/>
      <c r="AE383" s="535"/>
      <c r="AF383" s="535"/>
      <c r="AG383" s="529"/>
      <c r="AH383" s="529"/>
      <c r="AI383" s="529"/>
      <c r="AJ383" s="529"/>
      <c r="AK383" s="529"/>
      <c r="AL383" s="529"/>
      <c r="AM383" s="529"/>
      <c r="AN383" s="529"/>
      <c r="AO383" s="529"/>
      <c r="AP383" s="529"/>
      <c r="AQ383" s="529"/>
      <c r="AR383" s="529"/>
      <c r="AS383" s="529"/>
      <c r="AT383" s="529"/>
      <c r="AU383" s="529"/>
      <c r="AV383" s="529"/>
      <c r="AW383" s="529"/>
      <c r="AX383" s="530"/>
    </row>
    <row r="384" spans="1:50" ht="15.75" thickBot="1" x14ac:dyDescent="0.3">
      <c r="A384" s="537"/>
      <c r="B384" s="538"/>
      <c r="C384" s="538"/>
      <c r="D384" s="538"/>
      <c r="E384" s="538"/>
      <c r="F384" s="538"/>
      <c r="G384" s="538"/>
      <c r="H384" s="538"/>
      <c r="I384" s="538"/>
      <c r="J384" s="531"/>
      <c r="K384" s="531"/>
      <c r="L384" s="531"/>
      <c r="M384" s="531"/>
      <c r="N384" s="531"/>
      <c r="O384" s="531"/>
      <c r="P384" s="531"/>
      <c r="Q384" s="531"/>
      <c r="R384" s="531"/>
      <c r="S384" s="531"/>
      <c r="T384" s="531"/>
      <c r="U384" s="531"/>
      <c r="V384" s="531"/>
      <c r="W384" s="531"/>
      <c r="X384" s="531"/>
      <c r="Y384" s="532"/>
      <c r="Z384" s="537"/>
      <c r="AA384" s="538"/>
      <c r="AB384" s="538"/>
      <c r="AC384" s="538"/>
      <c r="AD384" s="538"/>
      <c r="AE384" s="538"/>
      <c r="AF384" s="538"/>
      <c r="AG384" s="531"/>
      <c r="AH384" s="531"/>
      <c r="AI384" s="531"/>
      <c r="AJ384" s="531"/>
      <c r="AK384" s="531"/>
      <c r="AL384" s="531"/>
      <c r="AM384" s="531"/>
      <c r="AN384" s="531"/>
      <c r="AO384" s="531"/>
      <c r="AP384" s="531"/>
      <c r="AQ384" s="531"/>
      <c r="AR384" s="531"/>
      <c r="AS384" s="531"/>
      <c r="AT384" s="531"/>
      <c r="AU384" s="531"/>
      <c r="AV384" s="531"/>
      <c r="AW384" s="531"/>
      <c r="AX384" s="532"/>
    </row>
    <row r="385" spans="1:50" ht="15" customHeight="1" x14ac:dyDescent="0.25">
      <c r="A385" s="524"/>
      <c r="B385" s="525"/>
      <c r="C385" s="525"/>
      <c r="D385" s="525"/>
      <c r="E385" s="525"/>
      <c r="F385" s="525"/>
      <c r="G385" s="525"/>
      <c r="H385" s="526" t="str">
        <f>IF(A386="","",LOOKUP(A386,BoonRef!$A$2:$A$430,BoonRef!$C$2:$C$430))</f>
        <v/>
      </c>
      <c r="I385" s="526"/>
      <c r="J385" s="527"/>
      <c r="K385" s="527"/>
      <c r="L385" s="527"/>
      <c r="M385" s="527"/>
      <c r="N385" s="527"/>
      <c r="O385" s="527"/>
      <c r="P385" s="527"/>
      <c r="Q385" s="527"/>
      <c r="R385" s="527"/>
      <c r="S385" s="527"/>
      <c r="T385" s="527"/>
      <c r="U385" s="527"/>
      <c r="V385" s="527"/>
      <c r="W385" s="527"/>
      <c r="X385" s="527"/>
      <c r="Y385" s="528"/>
      <c r="Z385" s="524"/>
      <c r="AA385" s="525"/>
      <c r="AB385" s="525"/>
      <c r="AC385" s="525"/>
      <c r="AD385" s="525"/>
      <c r="AE385" s="526" t="str">
        <f>IF(Z386="","",LOOKUP(Z386,KanckRef!$A$2:$A$170,KanckRef!$E$2:$E$170))</f>
        <v/>
      </c>
      <c r="AF385" s="526"/>
      <c r="AG385" s="527"/>
      <c r="AH385" s="527"/>
      <c r="AI385" s="527"/>
      <c r="AJ385" s="527"/>
      <c r="AK385" s="527"/>
      <c r="AL385" s="527"/>
      <c r="AM385" s="527"/>
      <c r="AN385" s="527"/>
      <c r="AO385" s="527"/>
      <c r="AP385" s="527"/>
      <c r="AQ385" s="527"/>
      <c r="AR385" s="527"/>
      <c r="AS385" s="527"/>
      <c r="AT385" s="527"/>
      <c r="AU385" s="527"/>
      <c r="AV385" s="527"/>
      <c r="AW385" s="527"/>
      <c r="AX385" s="528"/>
    </row>
    <row r="386" spans="1:50" ht="15" customHeight="1" x14ac:dyDescent="0.25">
      <c r="A386" s="533"/>
      <c r="B386" s="534"/>
      <c r="C386" s="534"/>
      <c r="D386" s="534"/>
      <c r="E386" s="534"/>
      <c r="F386" s="534"/>
      <c r="G386" s="534"/>
      <c r="H386" s="535" t="str">
        <f>IF(A386="","",LOOKUP(A386,BoonRef!$A$2:$A$430,BoonRef!$P$2:$P$430))</f>
        <v/>
      </c>
      <c r="I386" s="535"/>
      <c r="J386" s="529"/>
      <c r="K386" s="529"/>
      <c r="L386" s="529"/>
      <c r="M386" s="529"/>
      <c r="N386" s="529"/>
      <c r="O386" s="529"/>
      <c r="P386" s="529"/>
      <c r="Q386" s="529"/>
      <c r="R386" s="529"/>
      <c r="S386" s="529"/>
      <c r="T386" s="529"/>
      <c r="U386" s="529"/>
      <c r="V386" s="529"/>
      <c r="W386" s="529"/>
      <c r="X386" s="529"/>
      <c r="Y386" s="530"/>
      <c r="Z386" s="533"/>
      <c r="AA386" s="534"/>
      <c r="AB386" s="534"/>
      <c r="AC386" s="534"/>
      <c r="AD386" s="534"/>
      <c r="AE386" s="535" t="str">
        <f>IF(Z386="","",LOOKUP(Z386,KanckRef!$A$2:$A$170,KanckRef!$F$2:$F$170))</f>
        <v/>
      </c>
      <c r="AF386" s="535"/>
      <c r="AG386" s="529"/>
      <c r="AH386" s="529"/>
      <c r="AI386" s="529"/>
      <c r="AJ386" s="529"/>
      <c r="AK386" s="529"/>
      <c r="AL386" s="529"/>
      <c r="AM386" s="529"/>
      <c r="AN386" s="529"/>
      <c r="AO386" s="529"/>
      <c r="AP386" s="529"/>
      <c r="AQ386" s="529"/>
      <c r="AR386" s="529"/>
      <c r="AS386" s="529"/>
      <c r="AT386" s="529"/>
      <c r="AU386" s="529"/>
      <c r="AV386" s="529"/>
      <c r="AW386" s="529"/>
      <c r="AX386" s="530"/>
    </row>
    <row r="387" spans="1:50" x14ac:dyDescent="0.25">
      <c r="A387" s="533"/>
      <c r="B387" s="534"/>
      <c r="C387" s="534"/>
      <c r="D387" s="534"/>
      <c r="E387" s="534"/>
      <c r="F387" s="534"/>
      <c r="G387" s="534"/>
      <c r="H387" s="535" t="str">
        <f>IF(A386="","",LOOKUP(A386,BoonRef!$A$2:$A$430,BoonRef!$Q$2:$Q$430))</f>
        <v/>
      </c>
      <c r="I387" s="535"/>
      <c r="J387" s="529"/>
      <c r="K387" s="529"/>
      <c r="L387" s="529"/>
      <c r="M387" s="529"/>
      <c r="N387" s="529"/>
      <c r="O387" s="529"/>
      <c r="P387" s="529"/>
      <c r="Q387" s="529"/>
      <c r="R387" s="529"/>
      <c r="S387" s="529"/>
      <c r="T387" s="529"/>
      <c r="U387" s="529"/>
      <c r="V387" s="529"/>
      <c r="W387" s="529"/>
      <c r="X387" s="529"/>
      <c r="Y387" s="530"/>
      <c r="Z387" s="533"/>
      <c r="AA387" s="534"/>
      <c r="AB387" s="534"/>
      <c r="AC387" s="534"/>
      <c r="AD387" s="534"/>
      <c r="AE387" s="535"/>
      <c r="AF387" s="535"/>
      <c r="AG387" s="529"/>
      <c r="AH387" s="529"/>
      <c r="AI387" s="529"/>
      <c r="AJ387" s="529"/>
      <c r="AK387" s="529"/>
      <c r="AL387" s="529"/>
      <c r="AM387" s="529"/>
      <c r="AN387" s="529"/>
      <c r="AO387" s="529"/>
      <c r="AP387" s="529"/>
      <c r="AQ387" s="529"/>
      <c r="AR387" s="529"/>
      <c r="AS387" s="529"/>
      <c r="AT387" s="529"/>
      <c r="AU387" s="529"/>
      <c r="AV387" s="529"/>
      <c r="AW387" s="529"/>
      <c r="AX387" s="530"/>
    </row>
    <row r="388" spans="1:50" x14ac:dyDescent="0.25">
      <c r="A388" s="536" t="str">
        <f>IF(A386="","",LOOKUP(A386,BoonRef!$A$2:$A$430,BoonRef!$O$2:$O$430))</f>
        <v/>
      </c>
      <c r="B388" s="535"/>
      <c r="C388" s="535"/>
      <c r="D388" s="535"/>
      <c r="E388" s="535"/>
      <c r="F388" s="535"/>
      <c r="G388" s="535"/>
      <c r="H388" s="535"/>
      <c r="I388" s="535"/>
      <c r="J388" s="529"/>
      <c r="K388" s="529"/>
      <c r="L388" s="529"/>
      <c r="M388" s="529"/>
      <c r="N388" s="529"/>
      <c r="O388" s="529"/>
      <c r="P388" s="529"/>
      <c r="Q388" s="529"/>
      <c r="R388" s="529"/>
      <c r="S388" s="529"/>
      <c r="T388" s="529"/>
      <c r="U388" s="529"/>
      <c r="V388" s="529"/>
      <c r="W388" s="529"/>
      <c r="X388" s="529"/>
      <c r="Y388" s="530"/>
      <c r="Z388" s="536" t="str">
        <f>IF(Z386="","",LOOKUP(Z386,KanckRef!$A$2:$A$170,KanckRef!$D$2:$D$170))</f>
        <v/>
      </c>
      <c r="AA388" s="535"/>
      <c r="AB388" s="535"/>
      <c r="AC388" s="535"/>
      <c r="AD388" s="535"/>
      <c r="AE388" s="535"/>
      <c r="AF388" s="535"/>
      <c r="AG388" s="529"/>
      <c r="AH388" s="529"/>
      <c r="AI388" s="529"/>
      <c r="AJ388" s="529"/>
      <c r="AK388" s="529"/>
      <c r="AL388" s="529"/>
      <c r="AM388" s="529"/>
      <c r="AN388" s="529"/>
      <c r="AO388" s="529"/>
      <c r="AP388" s="529"/>
      <c r="AQ388" s="529"/>
      <c r="AR388" s="529"/>
      <c r="AS388" s="529"/>
      <c r="AT388" s="529"/>
      <c r="AU388" s="529"/>
      <c r="AV388" s="529"/>
      <c r="AW388" s="529"/>
      <c r="AX388" s="530"/>
    </row>
    <row r="389" spans="1:50" x14ac:dyDescent="0.25">
      <c r="A389" s="536" t="str">
        <f>IF(A386="","",LOOKUP(A386,BoonRef!$A$2:$A$430,BoonRef!$N$2:$N$430))</f>
        <v/>
      </c>
      <c r="B389" s="535"/>
      <c r="C389" s="535"/>
      <c r="D389" s="535"/>
      <c r="E389" s="535"/>
      <c r="F389" s="535"/>
      <c r="G389" s="535"/>
      <c r="H389" s="535"/>
      <c r="I389" s="535"/>
      <c r="J389" s="529"/>
      <c r="K389" s="529"/>
      <c r="L389" s="529"/>
      <c r="M389" s="529"/>
      <c r="N389" s="529"/>
      <c r="O389" s="529"/>
      <c r="P389" s="529"/>
      <c r="Q389" s="529"/>
      <c r="R389" s="529"/>
      <c r="S389" s="529"/>
      <c r="T389" s="529"/>
      <c r="U389" s="529"/>
      <c r="V389" s="529"/>
      <c r="W389" s="529"/>
      <c r="X389" s="529"/>
      <c r="Y389" s="530"/>
      <c r="Z389" s="536"/>
      <c r="AA389" s="535"/>
      <c r="AB389" s="535"/>
      <c r="AC389" s="535"/>
      <c r="AD389" s="535"/>
      <c r="AE389" s="535"/>
      <c r="AF389" s="535"/>
      <c r="AG389" s="529"/>
      <c r="AH389" s="529"/>
      <c r="AI389" s="529"/>
      <c r="AJ389" s="529"/>
      <c r="AK389" s="529"/>
      <c r="AL389" s="529"/>
      <c r="AM389" s="529"/>
      <c r="AN389" s="529"/>
      <c r="AO389" s="529"/>
      <c r="AP389" s="529"/>
      <c r="AQ389" s="529"/>
      <c r="AR389" s="529"/>
      <c r="AS389" s="529"/>
      <c r="AT389" s="529"/>
      <c r="AU389" s="529"/>
      <c r="AV389" s="529"/>
      <c r="AW389" s="529"/>
      <c r="AX389" s="530"/>
    </row>
    <row r="390" spans="1:50" ht="15" customHeight="1" thickBot="1" x14ac:dyDescent="0.3">
      <c r="A390" s="537"/>
      <c r="B390" s="538"/>
      <c r="C390" s="538"/>
      <c r="D390" s="538"/>
      <c r="E390" s="538"/>
      <c r="F390" s="538"/>
      <c r="G390" s="538"/>
      <c r="H390" s="538"/>
      <c r="I390" s="538"/>
      <c r="J390" s="531"/>
      <c r="K390" s="531"/>
      <c r="L390" s="531"/>
      <c r="M390" s="531"/>
      <c r="N390" s="531"/>
      <c r="O390" s="531"/>
      <c r="P390" s="531"/>
      <c r="Q390" s="531"/>
      <c r="R390" s="531"/>
      <c r="S390" s="531"/>
      <c r="T390" s="531"/>
      <c r="U390" s="531"/>
      <c r="V390" s="531"/>
      <c r="W390" s="531"/>
      <c r="X390" s="531"/>
      <c r="Y390" s="532"/>
      <c r="Z390" s="537"/>
      <c r="AA390" s="538"/>
      <c r="AB390" s="538"/>
      <c r="AC390" s="538"/>
      <c r="AD390" s="538"/>
      <c r="AE390" s="538"/>
      <c r="AF390" s="538"/>
      <c r="AG390" s="531"/>
      <c r="AH390" s="531"/>
      <c r="AI390" s="531"/>
      <c r="AJ390" s="531"/>
      <c r="AK390" s="531"/>
      <c r="AL390" s="531"/>
      <c r="AM390" s="531"/>
      <c r="AN390" s="531"/>
      <c r="AO390" s="531"/>
      <c r="AP390" s="531"/>
      <c r="AQ390" s="531"/>
      <c r="AR390" s="531"/>
      <c r="AS390" s="531"/>
      <c r="AT390" s="531"/>
      <c r="AU390" s="531"/>
      <c r="AV390" s="531"/>
      <c r="AW390" s="531"/>
      <c r="AX390" s="532"/>
    </row>
    <row r="391" spans="1:50" ht="15" customHeight="1" x14ac:dyDescent="0.25">
      <c r="A391" s="524"/>
      <c r="B391" s="525"/>
      <c r="C391" s="525"/>
      <c r="D391" s="525"/>
      <c r="E391" s="525"/>
      <c r="F391" s="525"/>
      <c r="G391" s="525"/>
      <c r="H391" s="526" t="str">
        <f>IF(A392="","",LOOKUP(A392,BoonRef!$A$2:$A$430,BoonRef!$C$2:$C$430))</f>
        <v/>
      </c>
      <c r="I391" s="526"/>
      <c r="J391" s="527"/>
      <c r="K391" s="527"/>
      <c r="L391" s="527"/>
      <c r="M391" s="527"/>
      <c r="N391" s="527"/>
      <c r="O391" s="527"/>
      <c r="P391" s="527"/>
      <c r="Q391" s="527"/>
      <c r="R391" s="527"/>
      <c r="S391" s="527"/>
      <c r="T391" s="527"/>
      <c r="U391" s="527"/>
      <c r="V391" s="527"/>
      <c r="W391" s="527"/>
      <c r="X391" s="527"/>
      <c r="Y391" s="528"/>
      <c r="Z391" s="524"/>
      <c r="AA391" s="525"/>
      <c r="AB391" s="525"/>
      <c r="AC391" s="525"/>
      <c r="AD391" s="525"/>
      <c r="AE391" s="526" t="str">
        <f>IF(Z392="","",LOOKUP(Z392,KanckRef!$A$2:$A$170,KanckRef!$E$2:$E$170))</f>
        <v/>
      </c>
      <c r="AF391" s="526"/>
      <c r="AG391" s="527"/>
      <c r="AH391" s="527"/>
      <c r="AI391" s="527"/>
      <c r="AJ391" s="527"/>
      <c r="AK391" s="527"/>
      <c r="AL391" s="527"/>
      <c r="AM391" s="527"/>
      <c r="AN391" s="527"/>
      <c r="AO391" s="527"/>
      <c r="AP391" s="527"/>
      <c r="AQ391" s="527"/>
      <c r="AR391" s="527"/>
      <c r="AS391" s="527"/>
      <c r="AT391" s="527"/>
      <c r="AU391" s="527"/>
      <c r="AV391" s="527"/>
      <c r="AW391" s="527"/>
      <c r="AX391" s="528"/>
    </row>
    <row r="392" spans="1:50" x14ac:dyDescent="0.25">
      <c r="A392" s="533"/>
      <c r="B392" s="534"/>
      <c r="C392" s="534"/>
      <c r="D392" s="534"/>
      <c r="E392" s="534"/>
      <c r="F392" s="534"/>
      <c r="G392" s="534"/>
      <c r="H392" s="535" t="str">
        <f>IF(A392="","",LOOKUP(A392,BoonRef!$A$2:$A$430,BoonRef!$P$2:$P$430))</f>
        <v/>
      </c>
      <c r="I392" s="535"/>
      <c r="J392" s="529"/>
      <c r="K392" s="529"/>
      <c r="L392" s="529"/>
      <c r="M392" s="529"/>
      <c r="N392" s="529"/>
      <c r="O392" s="529"/>
      <c r="P392" s="529"/>
      <c r="Q392" s="529"/>
      <c r="R392" s="529"/>
      <c r="S392" s="529"/>
      <c r="T392" s="529"/>
      <c r="U392" s="529"/>
      <c r="V392" s="529"/>
      <c r="W392" s="529"/>
      <c r="X392" s="529"/>
      <c r="Y392" s="530"/>
      <c r="Z392" s="533"/>
      <c r="AA392" s="534"/>
      <c r="AB392" s="534"/>
      <c r="AC392" s="534"/>
      <c r="AD392" s="534"/>
      <c r="AE392" s="535" t="str">
        <f>IF(Z392="","",LOOKUP(Z392,KanckRef!$A$2:$A$170,KanckRef!$F$2:$F$170))</f>
        <v/>
      </c>
      <c r="AF392" s="535"/>
      <c r="AG392" s="529"/>
      <c r="AH392" s="529"/>
      <c r="AI392" s="529"/>
      <c r="AJ392" s="529"/>
      <c r="AK392" s="529"/>
      <c r="AL392" s="529"/>
      <c r="AM392" s="529"/>
      <c r="AN392" s="529"/>
      <c r="AO392" s="529"/>
      <c r="AP392" s="529"/>
      <c r="AQ392" s="529"/>
      <c r="AR392" s="529"/>
      <c r="AS392" s="529"/>
      <c r="AT392" s="529"/>
      <c r="AU392" s="529"/>
      <c r="AV392" s="529"/>
      <c r="AW392" s="529"/>
      <c r="AX392" s="530"/>
    </row>
    <row r="393" spans="1:50" x14ac:dyDescent="0.25">
      <c r="A393" s="533"/>
      <c r="B393" s="534"/>
      <c r="C393" s="534"/>
      <c r="D393" s="534"/>
      <c r="E393" s="534"/>
      <c r="F393" s="534"/>
      <c r="G393" s="534"/>
      <c r="H393" s="535" t="str">
        <f>IF(A392="","",LOOKUP(A392,BoonRef!$A$2:$A$430,BoonRef!$Q$2:$Q$430))</f>
        <v/>
      </c>
      <c r="I393" s="535"/>
      <c r="J393" s="529"/>
      <c r="K393" s="529"/>
      <c r="L393" s="529"/>
      <c r="M393" s="529"/>
      <c r="N393" s="529"/>
      <c r="O393" s="529"/>
      <c r="P393" s="529"/>
      <c r="Q393" s="529"/>
      <c r="R393" s="529"/>
      <c r="S393" s="529"/>
      <c r="T393" s="529"/>
      <c r="U393" s="529"/>
      <c r="V393" s="529"/>
      <c r="W393" s="529"/>
      <c r="X393" s="529"/>
      <c r="Y393" s="530"/>
      <c r="Z393" s="533"/>
      <c r="AA393" s="534"/>
      <c r="AB393" s="534"/>
      <c r="AC393" s="534"/>
      <c r="AD393" s="534"/>
      <c r="AE393" s="535"/>
      <c r="AF393" s="535"/>
      <c r="AG393" s="529"/>
      <c r="AH393" s="529"/>
      <c r="AI393" s="529"/>
      <c r="AJ393" s="529"/>
      <c r="AK393" s="529"/>
      <c r="AL393" s="529"/>
      <c r="AM393" s="529"/>
      <c r="AN393" s="529"/>
      <c r="AO393" s="529"/>
      <c r="AP393" s="529"/>
      <c r="AQ393" s="529"/>
      <c r="AR393" s="529"/>
      <c r="AS393" s="529"/>
      <c r="AT393" s="529"/>
      <c r="AU393" s="529"/>
      <c r="AV393" s="529"/>
      <c r="AW393" s="529"/>
      <c r="AX393" s="530"/>
    </row>
    <row r="394" spans="1:50" x14ac:dyDescent="0.25">
      <c r="A394" s="536" t="str">
        <f>IF(A392="","",LOOKUP(A392,BoonRef!$A$2:$A$430,BoonRef!$O$2:$O$430))</f>
        <v/>
      </c>
      <c r="B394" s="535"/>
      <c r="C394" s="535"/>
      <c r="D394" s="535"/>
      <c r="E394" s="535"/>
      <c r="F394" s="535"/>
      <c r="G394" s="535"/>
      <c r="H394" s="535"/>
      <c r="I394" s="535"/>
      <c r="J394" s="529"/>
      <c r="K394" s="529"/>
      <c r="L394" s="529"/>
      <c r="M394" s="529"/>
      <c r="N394" s="529"/>
      <c r="O394" s="529"/>
      <c r="P394" s="529"/>
      <c r="Q394" s="529"/>
      <c r="R394" s="529"/>
      <c r="S394" s="529"/>
      <c r="T394" s="529"/>
      <c r="U394" s="529"/>
      <c r="V394" s="529"/>
      <c r="W394" s="529"/>
      <c r="X394" s="529"/>
      <c r="Y394" s="530"/>
      <c r="Z394" s="536" t="str">
        <f>IF(Z392="","",LOOKUP(Z392,KanckRef!$A$2:$A$170,KanckRef!$D$2:$D$170))</f>
        <v/>
      </c>
      <c r="AA394" s="535"/>
      <c r="AB394" s="535"/>
      <c r="AC394" s="535"/>
      <c r="AD394" s="535"/>
      <c r="AE394" s="535"/>
      <c r="AF394" s="535"/>
      <c r="AG394" s="529"/>
      <c r="AH394" s="529"/>
      <c r="AI394" s="529"/>
      <c r="AJ394" s="529"/>
      <c r="AK394" s="529"/>
      <c r="AL394" s="529"/>
      <c r="AM394" s="529"/>
      <c r="AN394" s="529"/>
      <c r="AO394" s="529"/>
      <c r="AP394" s="529"/>
      <c r="AQ394" s="529"/>
      <c r="AR394" s="529"/>
      <c r="AS394" s="529"/>
      <c r="AT394" s="529"/>
      <c r="AU394" s="529"/>
      <c r="AV394" s="529"/>
      <c r="AW394" s="529"/>
      <c r="AX394" s="530"/>
    </row>
    <row r="395" spans="1:50" ht="15" customHeight="1" x14ac:dyDescent="0.25">
      <c r="A395" s="536" t="str">
        <f>IF(A392="","",LOOKUP(A392,BoonRef!$A$2:$A$430,BoonRef!$N$2:$N$430))</f>
        <v/>
      </c>
      <c r="B395" s="535"/>
      <c r="C395" s="535"/>
      <c r="D395" s="535"/>
      <c r="E395" s="535"/>
      <c r="F395" s="535"/>
      <c r="G395" s="535"/>
      <c r="H395" s="535"/>
      <c r="I395" s="535"/>
      <c r="J395" s="529"/>
      <c r="K395" s="529"/>
      <c r="L395" s="529"/>
      <c r="M395" s="529"/>
      <c r="N395" s="529"/>
      <c r="O395" s="529"/>
      <c r="P395" s="529"/>
      <c r="Q395" s="529"/>
      <c r="R395" s="529"/>
      <c r="S395" s="529"/>
      <c r="T395" s="529"/>
      <c r="U395" s="529"/>
      <c r="V395" s="529"/>
      <c r="W395" s="529"/>
      <c r="X395" s="529"/>
      <c r="Y395" s="530"/>
      <c r="Z395" s="536"/>
      <c r="AA395" s="535"/>
      <c r="AB395" s="535"/>
      <c r="AC395" s="535"/>
      <c r="AD395" s="535"/>
      <c r="AE395" s="535"/>
      <c r="AF395" s="535"/>
      <c r="AG395" s="529"/>
      <c r="AH395" s="529"/>
      <c r="AI395" s="529"/>
      <c r="AJ395" s="529"/>
      <c r="AK395" s="529"/>
      <c r="AL395" s="529"/>
      <c r="AM395" s="529"/>
      <c r="AN395" s="529"/>
      <c r="AO395" s="529"/>
      <c r="AP395" s="529"/>
      <c r="AQ395" s="529"/>
      <c r="AR395" s="529"/>
      <c r="AS395" s="529"/>
      <c r="AT395" s="529"/>
      <c r="AU395" s="529"/>
      <c r="AV395" s="529"/>
      <c r="AW395" s="529"/>
      <c r="AX395" s="530"/>
    </row>
    <row r="396" spans="1:50" ht="15" customHeight="1" thickBot="1" x14ac:dyDescent="0.3">
      <c r="A396" s="537"/>
      <c r="B396" s="538"/>
      <c r="C396" s="538"/>
      <c r="D396" s="538"/>
      <c r="E396" s="538"/>
      <c r="F396" s="538"/>
      <c r="G396" s="538"/>
      <c r="H396" s="538"/>
      <c r="I396" s="538"/>
      <c r="J396" s="531"/>
      <c r="K396" s="531"/>
      <c r="L396" s="531"/>
      <c r="M396" s="531"/>
      <c r="N396" s="531"/>
      <c r="O396" s="531"/>
      <c r="P396" s="531"/>
      <c r="Q396" s="531"/>
      <c r="R396" s="531"/>
      <c r="S396" s="531"/>
      <c r="T396" s="531"/>
      <c r="U396" s="531"/>
      <c r="V396" s="531"/>
      <c r="W396" s="531"/>
      <c r="X396" s="531"/>
      <c r="Y396" s="532"/>
      <c r="Z396" s="537"/>
      <c r="AA396" s="538"/>
      <c r="AB396" s="538"/>
      <c r="AC396" s="538"/>
      <c r="AD396" s="538"/>
      <c r="AE396" s="538"/>
      <c r="AF396" s="538"/>
      <c r="AG396" s="531"/>
      <c r="AH396" s="531"/>
      <c r="AI396" s="531"/>
      <c r="AJ396" s="531"/>
      <c r="AK396" s="531"/>
      <c r="AL396" s="531"/>
      <c r="AM396" s="531"/>
      <c r="AN396" s="531"/>
      <c r="AO396" s="531"/>
      <c r="AP396" s="531"/>
      <c r="AQ396" s="531"/>
      <c r="AR396" s="531"/>
      <c r="AS396" s="531"/>
      <c r="AT396" s="531"/>
      <c r="AU396" s="531"/>
      <c r="AV396" s="531"/>
      <c r="AW396" s="531"/>
      <c r="AX396" s="532"/>
    </row>
    <row r="397" spans="1:50" x14ac:dyDescent="0.25">
      <c r="A397" s="524"/>
      <c r="B397" s="525"/>
      <c r="C397" s="525"/>
      <c r="D397" s="525"/>
      <c r="E397" s="525"/>
      <c r="F397" s="525"/>
      <c r="G397" s="525"/>
      <c r="H397" s="526" t="str">
        <f>IF(A398="","",LOOKUP(A398,BoonRef!$A$2:$A$430,BoonRef!$C$2:$C$430))</f>
        <v/>
      </c>
      <c r="I397" s="526"/>
      <c r="J397" s="527"/>
      <c r="K397" s="527"/>
      <c r="L397" s="527"/>
      <c r="M397" s="527"/>
      <c r="N397" s="527"/>
      <c r="O397" s="527"/>
      <c r="P397" s="527"/>
      <c r="Q397" s="527"/>
      <c r="R397" s="527"/>
      <c r="S397" s="527"/>
      <c r="T397" s="527"/>
      <c r="U397" s="527"/>
      <c r="V397" s="527"/>
      <c r="W397" s="527"/>
      <c r="X397" s="527"/>
      <c r="Y397" s="528"/>
      <c r="Z397" s="524"/>
      <c r="AA397" s="525"/>
      <c r="AB397" s="525"/>
      <c r="AC397" s="525"/>
      <c r="AD397" s="525"/>
      <c r="AE397" s="526" t="str">
        <f>IF(Z398="","",LOOKUP(Z398,KanckRef!$A$2:$A$170,KanckRef!$E$2:$E$170))</f>
        <v/>
      </c>
      <c r="AF397" s="526"/>
      <c r="AG397" s="527"/>
      <c r="AH397" s="527"/>
      <c r="AI397" s="527"/>
      <c r="AJ397" s="527"/>
      <c r="AK397" s="527"/>
      <c r="AL397" s="527"/>
      <c r="AM397" s="527"/>
      <c r="AN397" s="527"/>
      <c r="AO397" s="527"/>
      <c r="AP397" s="527"/>
      <c r="AQ397" s="527"/>
      <c r="AR397" s="527"/>
      <c r="AS397" s="527"/>
      <c r="AT397" s="527"/>
      <c r="AU397" s="527"/>
      <c r="AV397" s="527"/>
      <c r="AW397" s="527"/>
      <c r="AX397" s="528"/>
    </row>
    <row r="398" spans="1:50" x14ac:dyDescent="0.25">
      <c r="A398" s="533"/>
      <c r="B398" s="534"/>
      <c r="C398" s="534"/>
      <c r="D398" s="534"/>
      <c r="E398" s="534"/>
      <c r="F398" s="534"/>
      <c r="G398" s="534"/>
      <c r="H398" s="535" t="str">
        <f>IF(A398="","",LOOKUP(A398,BoonRef!$A$2:$A$430,BoonRef!$P$2:$P$430))</f>
        <v/>
      </c>
      <c r="I398" s="535"/>
      <c r="J398" s="529"/>
      <c r="K398" s="529"/>
      <c r="L398" s="529"/>
      <c r="M398" s="529"/>
      <c r="N398" s="529"/>
      <c r="O398" s="529"/>
      <c r="P398" s="529"/>
      <c r="Q398" s="529"/>
      <c r="R398" s="529"/>
      <c r="S398" s="529"/>
      <c r="T398" s="529"/>
      <c r="U398" s="529"/>
      <c r="V398" s="529"/>
      <c r="W398" s="529"/>
      <c r="X398" s="529"/>
      <c r="Y398" s="530"/>
      <c r="Z398" s="533"/>
      <c r="AA398" s="534"/>
      <c r="AB398" s="534"/>
      <c r="AC398" s="534"/>
      <c r="AD398" s="534"/>
      <c r="AE398" s="535" t="str">
        <f>IF(Z398="","",LOOKUP(Z398,KanckRef!$A$2:$A$170,KanckRef!$F$2:$F$170))</f>
        <v/>
      </c>
      <c r="AF398" s="535"/>
      <c r="AG398" s="529"/>
      <c r="AH398" s="529"/>
      <c r="AI398" s="529"/>
      <c r="AJ398" s="529"/>
      <c r="AK398" s="529"/>
      <c r="AL398" s="529"/>
      <c r="AM398" s="529"/>
      <c r="AN398" s="529"/>
      <c r="AO398" s="529"/>
      <c r="AP398" s="529"/>
      <c r="AQ398" s="529"/>
      <c r="AR398" s="529"/>
      <c r="AS398" s="529"/>
      <c r="AT398" s="529"/>
      <c r="AU398" s="529"/>
      <c r="AV398" s="529"/>
      <c r="AW398" s="529"/>
      <c r="AX398" s="530"/>
    </row>
    <row r="399" spans="1:50" x14ac:dyDescent="0.25">
      <c r="A399" s="533"/>
      <c r="B399" s="534"/>
      <c r="C399" s="534"/>
      <c r="D399" s="534"/>
      <c r="E399" s="534"/>
      <c r="F399" s="534"/>
      <c r="G399" s="534"/>
      <c r="H399" s="535" t="str">
        <f>IF(A398="","",LOOKUP(A398,BoonRef!$A$2:$A$430,BoonRef!$Q$2:$Q$430))</f>
        <v/>
      </c>
      <c r="I399" s="535"/>
      <c r="J399" s="529"/>
      <c r="K399" s="529"/>
      <c r="L399" s="529"/>
      <c r="M399" s="529"/>
      <c r="N399" s="529"/>
      <c r="O399" s="529"/>
      <c r="P399" s="529"/>
      <c r="Q399" s="529"/>
      <c r="R399" s="529"/>
      <c r="S399" s="529"/>
      <c r="T399" s="529"/>
      <c r="U399" s="529"/>
      <c r="V399" s="529"/>
      <c r="W399" s="529"/>
      <c r="X399" s="529"/>
      <c r="Y399" s="530"/>
      <c r="Z399" s="533"/>
      <c r="AA399" s="534"/>
      <c r="AB399" s="534"/>
      <c r="AC399" s="534"/>
      <c r="AD399" s="534"/>
      <c r="AE399" s="535"/>
      <c r="AF399" s="535"/>
      <c r="AG399" s="529"/>
      <c r="AH399" s="529"/>
      <c r="AI399" s="529"/>
      <c r="AJ399" s="529"/>
      <c r="AK399" s="529"/>
      <c r="AL399" s="529"/>
      <c r="AM399" s="529"/>
      <c r="AN399" s="529"/>
      <c r="AO399" s="529"/>
      <c r="AP399" s="529"/>
      <c r="AQ399" s="529"/>
      <c r="AR399" s="529"/>
      <c r="AS399" s="529"/>
      <c r="AT399" s="529"/>
      <c r="AU399" s="529"/>
      <c r="AV399" s="529"/>
      <c r="AW399" s="529"/>
      <c r="AX399" s="530"/>
    </row>
    <row r="400" spans="1:50" x14ac:dyDescent="0.25">
      <c r="A400" s="536" t="str">
        <f>IF(A398="","",LOOKUP(A398,BoonRef!$A$2:$A$430,BoonRef!$O$2:$O$430))</f>
        <v/>
      </c>
      <c r="B400" s="535"/>
      <c r="C400" s="535"/>
      <c r="D400" s="535"/>
      <c r="E400" s="535"/>
      <c r="F400" s="535"/>
      <c r="G400" s="535"/>
      <c r="H400" s="535"/>
      <c r="I400" s="535"/>
      <c r="J400" s="529"/>
      <c r="K400" s="529"/>
      <c r="L400" s="529"/>
      <c r="M400" s="529"/>
      <c r="N400" s="529"/>
      <c r="O400" s="529"/>
      <c r="P400" s="529"/>
      <c r="Q400" s="529"/>
      <c r="R400" s="529"/>
      <c r="S400" s="529"/>
      <c r="T400" s="529"/>
      <c r="U400" s="529"/>
      <c r="V400" s="529"/>
      <c r="W400" s="529"/>
      <c r="X400" s="529"/>
      <c r="Y400" s="530"/>
      <c r="Z400" s="536" t="str">
        <f>IF(Z398="","",LOOKUP(Z398,KanckRef!$A$2:$A$170,KanckRef!$D$2:$D$170))</f>
        <v/>
      </c>
      <c r="AA400" s="535"/>
      <c r="AB400" s="535"/>
      <c r="AC400" s="535"/>
      <c r="AD400" s="535"/>
      <c r="AE400" s="535"/>
      <c r="AF400" s="535"/>
      <c r="AG400" s="529"/>
      <c r="AH400" s="529"/>
      <c r="AI400" s="529"/>
      <c r="AJ400" s="529"/>
      <c r="AK400" s="529"/>
      <c r="AL400" s="529"/>
      <c r="AM400" s="529"/>
      <c r="AN400" s="529"/>
      <c r="AO400" s="529"/>
      <c r="AP400" s="529"/>
      <c r="AQ400" s="529"/>
      <c r="AR400" s="529"/>
      <c r="AS400" s="529"/>
      <c r="AT400" s="529"/>
      <c r="AU400" s="529"/>
      <c r="AV400" s="529"/>
      <c r="AW400" s="529"/>
      <c r="AX400" s="530"/>
    </row>
    <row r="401" spans="1:50" ht="15" customHeight="1" x14ac:dyDescent="0.25">
      <c r="A401" s="536" t="str">
        <f>IF(A398="","",LOOKUP(A398,BoonRef!$A$2:$A$430,BoonRef!$N$2:$N$430))</f>
        <v/>
      </c>
      <c r="B401" s="535"/>
      <c r="C401" s="535"/>
      <c r="D401" s="535"/>
      <c r="E401" s="535"/>
      <c r="F401" s="535"/>
      <c r="G401" s="535"/>
      <c r="H401" s="535"/>
      <c r="I401" s="535"/>
      <c r="J401" s="529"/>
      <c r="K401" s="529"/>
      <c r="L401" s="529"/>
      <c r="M401" s="529"/>
      <c r="N401" s="529"/>
      <c r="O401" s="529"/>
      <c r="P401" s="529"/>
      <c r="Q401" s="529"/>
      <c r="R401" s="529"/>
      <c r="S401" s="529"/>
      <c r="T401" s="529"/>
      <c r="U401" s="529"/>
      <c r="V401" s="529"/>
      <c r="W401" s="529"/>
      <c r="X401" s="529"/>
      <c r="Y401" s="530"/>
      <c r="Z401" s="536"/>
      <c r="AA401" s="535"/>
      <c r="AB401" s="535"/>
      <c r="AC401" s="535"/>
      <c r="AD401" s="535"/>
      <c r="AE401" s="535"/>
      <c r="AF401" s="535"/>
      <c r="AG401" s="529"/>
      <c r="AH401" s="529"/>
      <c r="AI401" s="529"/>
      <c r="AJ401" s="529"/>
      <c r="AK401" s="529"/>
      <c r="AL401" s="529"/>
      <c r="AM401" s="529"/>
      <c r="AN401" s="529"/>
      <c r="AO401" s="529"/>
      <c r="AP401" s="529"/>
      <c r="AQ401" s="529"/>
      <c r="AR401" s="529"/>
      <c r="AS401" s="529"/>
      <c r="AT401" s="529"/>
      <c r="AU401" s="529"/>
      <c r="AV401" s="529"/>
      <c r="AW401" s="529"/>
      <c r="AX401" s="530"/>
    </row>
    <row r="402" spans="1:50" ht="15.75" thickBot="1" x14ac:dyDescent="0.3">
      <c r="A402" s="537"/>
      <c r="B402" s="538"/>
      <c r="C402" s="538"/>
      <c r="D402" s="538"/>
      <c r="E402" s="538"/>
      <c r="F402" s="538"/>
      <c r="G402" s="538"/>
      <c r="H402" s="538"/>
      <c r="I402" s="538"/>
      <c r="J402" s="531"/>
      <c r="K402" s="531"/>
      <c r="L402" s="531"/>
      <c r="M402" s="531"/>
      <c r="N402" s="531"/>
      <c r="O402" s="531"/>
      <c r="P402" s="531"/>
      <c r="Q402" s="531"/>
      <c r="R402" s="531"/>
      <c r="S402" s="531"/>
      <c r="T402" s="531"/>
      <c r="U402" s="531"/>
      <c r="V402" s="531"/>
      <c r="W402" s="531"/>
      <c r="X402" s="531"/>
      <c r="Y402" s="532"/>
      <c r="Z402" s="537"/>
      <c r="AA402" s="538"/>
      <c r="AB402" s="538"/>
      <c r="AC402" s="538"/>
      <c r="AD402" s="538"/>
      <c r="AE402" s="538"/>
      <c r="AF402" s="538"/>
      <c r="AG402" s="531"/>
      <c r="AH402" s="531"/>
      <c r="AI402" s="531"/>
      <c r="AJ402" s="531"/>
      <c r="AK402" s="531"/>
      <c r="AL402" s="531"/>
      <c r="AM402" s="531"/>
      <c r="AN402" s="531"/>
      <c r="AO402" s="531"/>
      <c r="AP402" s="531"/>
      <c r="AQ402" s="531"/>
      <c r="AR402" s="531"/>
      <c r="AS402" s="531"/>
      <c r="AT402" s="531"/>
      <c r="AU402" s="531"/>
      <c r="AV402" s="531"/>
      <c r="AW402" s="531"/>
      <c r="AX402" s="532"/>
    </row>
    <row r="403" spans="1:50" x14ac:dyDescent="0.25">
      <c r="A403" s="524"/>
      <c r="B403" s="525"/>
      <c r="C403" s="525"/>
      <c r="D403" s="525"/>
      <c r="E403" s="525"/>
      <c r="F403" s="525"/>
      <c r="G403" s="525"/>
      <c r="H403" s="526" t="str">
        <f>IF(A404="","",LOOKUP(A404,BoonRef!$A$2:$A$430,BoonRef!$C$2:$C$430))</f>
        <v/>
      </c>
      <c r="I403" s="526"/>
      <c r="J403" s="527"/>
      <c r="K403" s="527"/>
      <c r="L403" s="527"/>
      <c r="M403" s="527"/>
      <c r="N403" s="527"/>
      <c r="O403" s="527"/>
      <c r="P403" s="527"/>
      <c r="Q403" s="527"/>
      <c r="R403" s="527"/>
      <c r="S403" s="527"/>
      <c r="T403" s="527"/>
      <c r="U403" s="527"/>
      <c r="V403" s="527"/>
      <c r="W403" s="527"/>
      <c r="X403" s="527"/>
      <c r="Y403" s="528"/>
      <c r="Z403" s="524"/>
      <c r="AA403" s="525"/>
      <c r="AB403" s="525"/>
      <c r="AC403" s="525"/>
      <c r="AD403" s="525"/>
      <c r="AE403" s="526" t="str">
        <f>IF(Z404="","",LOOKUP(Z404,KanckRef!$A$2:$A$170,KanckRef!$E$2:$E$170))</f>
        <v/>
      </c>
      <c r="AF403" s="526"/>
      <c r="AG403" s="527"/>
      <c r="AH403" s="527"/>
      <c r="AI403" s="527"/>
      <c r="AJ403" s="527"/>
      <c r="AK403" s="527"/>
      <c r="AL403" s="527"/>
      <c r="AM403" s="527"/>
      <c r="AN403" s="527"/>
      <c r="AO403" s="527"/>
      <c r="AP403" s="527"/>
      <c r="AQ403" s="527"/>
      <c r="AR403" s="527"/>
      <c r="AS403" s="527"/>
      <c r="AT403" s="527"/>
      <c r="AU403" s="527"/>
      <c r="AV403" s="527"/>
      <c r="AW403" s="527"/>
      <c r="AX403" s="528"/>
    </row>
    <row r="404" spans="1:50" x14ac:dyDescent="0.25">
      <c r="A404" s="533"/>
      <c r="B404" s="534"/>
      <c r="C404" s="534"/>
      <c r="D404" s="534"/>
      <c r="E404" s="534"/>
      <c r="F404" s="534"/>
      <c r="G404" s="534"/>
      <c r="H404" s="535" t="str">
        <f>IF(A404="","",LOOKUP(A404,BoonRef!$A$2:$A$430,BoonRef!$P$2:$P$430))</f>
        <v/>
      </c>
      <c r="I404" s="535"/>
      <c r="J404" s="529"/>
      <c r="K404" s="529"/>
      <c r="L404" s="529"/>
      <c r="M404" s="529"/>
      <c r="N404" s="529"/>
      <c r="O404" s="529"/>
      <c r="P404" s="529"/>
      <c r="Q404" s="529"/>
      <c r="R404" s="529"/>
      <c r="S404" s="529"/>
      <c r="T404" s="529"/>
      <c r="U404" s="529"/>
      <c r="V404" s="529"/>
      <c r="W404" s="529"/>
      <c r="X404" s="529"/>
      <c r="Y404" s="530"/>
      <c r="Z404" s="533"/>
      <c r="AA404" s="534"/>
      <c r="AB404" s="534"/>
      <c r="AC404" s="534"/>
      <c r="AD404" s="534"/>
      <c r="AE404" s="535" t="str">
        <f>IF(Z404="","",LOOKUP(Z404,KanckRef!$A$2:$A$170,KanckRef!$F$2:$F$170))</f>
        <v/>
      </c>
      <c r="AF404" s="535"/>
      <c r="AG404" s="529"/>
      <c r="AH404" s="529"/>
      <c r="AI404" s="529"/>
      <c r="AJ404" s="529"/>
      <c r="AK404" s="529"/>
      <c r="AL404" s="529"/>
      <c r="AM404" s="529"/>
      <c r="AN404" s="529"/>
      <c r="AO404" s="529"/>
      <c r="AP404" s="529"/>
      <c r="AQ404" s="529"/>
      <c r="AR404" s="529"/>
      <c r="AS404" s="529"/>
      <c r="AT404" s="529"/>
      <c r="AU404" s="529"/>
      <c r="AV404" s="529"/>
      <c r="AW404" s="529"/>
      <c r="AX404" s="530"/>
    </row>
    <row r="405" spans="1:50" x14ac:dyDescent="0.25">
      <c r="A405" s="533"/>
      <c r="B405" s="534"/>
      <c r="C405" s="534"/>
      <c r="D405" s="534"/>
      <c r="E405" s="534"/>
      <c r="F405" s="534"/>
      <c r="G405" s="534"/>
      <c r="H405" s="535" t="str">
        <f>IF(A404="","",LOOKUP(A404,BoonRef!$A$2:$A$430,BoonRef!$Q$2:$Q$430))</f>
        <v/>
      </c>
      <c r="I405" s="535"/>
      <c r="J405" s="529"/>
      <c r="K405" s="529"/>
      <c r="L405" s="529"/>
      <c r="M405" s="529"/>
      <c r="N405" s="529"/>
      <c r="O405" s="529"/>
      <c r="P405" s="529"/>
      <c r="Q405" s="529"/>
      <c r="R405" s="529"/>
      <c r="S405" s="529"/>
      <c r="T405" s="529"/>
      <c r="U405" s="529"/>
      <c r="V405" s="529"/>
      <c r="W405" s="529"/>
      <c r="X405" s="529"/>
      <c r="Y405" s="530"/>
      <c r="Z405" s="533"/>
      <c r="AA405" s="534"/>
      <c r="AB405" s="534"/>
      <c r="AC405" s="534"/>
      <c r="AD405" s="534"/>
      <c r="AE405" s="535"/>
      <c r="AF405" s="535"/>
      <c r="AG405" s="529"/>
      <c r="AH405" s="529"/>
      <c r="AI405" s="529"/>
      <c r="AJ405" s="529"/>
      <c r="AK405" s="529"/>
      <c r="AL405" s="529"/>
      <c r="AM405" s="529"/>
      <c r="AN405" s="529"/>
      <c r="AO405" s="529"/>
      <c r="AP405" s="529"/>
      <c r="AQ405" s="529"/>
      <c r="AR405" s="529"/>
      <c r="AS405" s="529"/>
      <c r="AT405" s="529"/>
      <c r="AU405" s="529"/>
      <c r="AV405" s="529"/>
      <c r="AW405" s="529"/>
      <c r="AX405" s="530"/>
    </row>
    <row r="406" spans="1:50" ht="15" customHeight="1" x14ac:dyDescent="0.25">
      <c r="A406" s="536" t="str">
        <f>IF(A404="","",LOOKUP(A404,BoonRef!$A$2:$A$430,BoonRef!$O$2:$O$430))</f>
        <v/>
      </c>
      <c r="B406" s="535"/>
      <c r="C406" s="535"/>
      <c r="D406" s="535"/>
      <c r="E406" s="535"/>
      <c r="F406" s="535"/>
      <c r="G406" s="535"/>
      <c r="H406" s="535"/>
      <c r="I406" s="535"/>
      <c r="J406" s="529"/>
      <c r="K406" s="529"/>
      <c r="L406" s="529"/>
      <c r="M406" s="529"/>
      <c r="N406" s="529"/>
      <c r="O406" s="529"/>
      <c r="P406" s="529"/>
      <c r="Q406" s="529"/>
      <c r="R406" s="529"/>
      <c r="S406" s="529"/>
      <c r="T406" s="529"/>
      <c r="U406" s="529"/>
      <c r="V406" s="529"/>
      <c r="W406" s="529"/>
      <c r="X406" s="529"/>
      <c r="Y406" s="530"/>
      <c r="Z406" s="536" t="str">
        <f>IF(Z404="","",LOOKUP(Z404,KanckRef!$A$2:$A$170,KanckRef!$D$2:$D$170))</f>
        <v/>
      </c>
      <c r="AA406" s="535"/>
      <c r="AB406" s="535"/>
      <c r="AC406" s="535"/>
      <c r="AD406" s="535"/>
      <c r="AE406" s="535"/>
      <c r="AF406" s="535"/>
      <c r="AG406" s="529"/>
      <c r="AH406" s="529"/>
      <c r="AI406" s="529"/>
      <c r="AJ406" s="529"/>
      <c r="AK406" s="529"/>
      <c r="AL406" s="529"/>
      <c r="AM406" s="529"/>
      <c r="AN406" s="529"/>
      <c r="AO406" s="529"/>
      <c r="AP406" s="529"/>
      <c r="AQ406" s="529"/>
      <c r="AR406" s="529"/>
      <c r="AS406" s="529"/>
      <c r="AT406" s="529"/>
      <c r="AU406" s="529"/>
      <c r="AV406" s="529"/>
      <c r="AW406" s="529"/>
      <c r="AX406" s="530"/>
    </row>
    <row r="407" spans="1:50" x14ac:dyDescent="0.25">
      <c r="A407" s="536" t="str">
        <f>IF(A404="","",LOOKUP(A404,BoonRef!$A$2:$A$430,BoonRef!$N$2:$N$430))</f>
        <v/>
      </c>
      <c r="B407" s="535"/>
      <c r="C407" s="535"/>
      <c r="D407" s="535"/>
      <c r="E407" s="535"/>
      <c r="F407" s="535"/>
      <c r="G407" s="535"/>
      <c r="H407" s="535"/>
      <c r="I407" s="535"/>
      <c r="J407" s="529"/>
      <c r="K407" s="529"/>
      <c r="L407" s="529"/>
      <c r="M407" s="529"/>
      <c r="N407" s="529"/>
      <c r="O407" s="529"/>
      <c r="P407" s="529"/>
      <c r="Q407" s="529"/>
      <c r="R407" s="529"/>
      <c r="S407" s="529"/>
      <c r="T407" s="529"/>
      <c r="U407" s="529"/>
      <c r="V407" s="529"/>
      <c r="W407" s="529"/>
      <c r="X407" s="529"/>
      <c r="Y407" s="530"/>
      <c r="Z407" s="536"/>
      <c r="AA407" s="535"/>
      <c r="AB407" s="535"/>
      <c r="AC407" s="535"/>
      <c r="AD407" s="535"/>
      <c r="AE407" s="535"/>
      <c r="AF407" s="535"/>
      <c r="AG407" s="529"/>
      <c r="AH407" s="529"/>
      <c r="AI407" s="529"/>
      <c r="AJ407" s="529"/>
      <c r="AK407" s="529"/>
      <c r="AL407" s="529"/>
      <c r="AM407" s="529"/>
      <c r="AN407" s="529"/>
      <c r="AO407" s="529"/>
      <c r="AP407" s="529"/>
      <c r="AQ407" s="529"/>
      <c r="AR407" s="529"/>
      <c r="AS407" s="529"/>
      <c r="AT407" s="529"/>
      <c r="AU407" s="529"/>
      <c r="AV407" s="529"/>
      <c r="AW407" s="529"/>
      <c r="AX407" s="530"/>
    </row>
    <row r="408" spans="1:50" ht="15.75" thickBot="1" x14ac:dyDescent="0.3">
      <c r="A408" s="537"/>
      <c r="B408" s="538"/>
      <c r="C408" s="538"/>
      <c r="D408" s="538"/>
      <c r="E408" s="538"/>
      <c r="F408" s="538"/>
      <c r="G408" s="538"/>
      <c r="H408" s="538"/>
      <c r="I408" s="538"/>
      <c r="J408" s="531"/>
      <c r="K408" s="531"/>
      <c r="L408" s="531"/>
      <c r="M408" s="531"/>
      <c r="N408" s="531"/>
      <c r="O408" s="531"/>
      <c r="P408" s="531"/>
      <c r="Q408" s="531"/>
      <c r="R408" s="531"/>
      <c r="S408" s="531"/>
      <c r="T408" s="531"/>
      <c r="U408" s="531"/>
      <c r="V408" s="531"/>
      <c r="W408" s="531"/>
      <c r="X408" s="531"/>
      <c r="Y408" s="532"/>
      <c r="Z408" s="537"/>
      <c r="AA408" s="538"/>
      <c r="AB408" s="538"/>
      <c r="AC408" s="538"/>
      <c r="AD408" s="538"/>
      <c r="AE408" s="538"/>
      <c r="AF408" s="538"/>
      <c r="AG408" s="531"/>
      <c r="AH408" s="531"/>
      <c r="AI408" s="531"/>
      <c r="AJ408" s="531"/>
      <c r="AK408" s="531"/>
      <c r="AL408" s="531"/>
      <c r="AM408" s="531"/>
      <c r="AN408" s="531"/>
      <c r="AO408" s="531"/>
      <c r="AP408" s="531"/>
      <c r="AQ408" s="531"/>
      <c r="AR408" s="531"/>
      <c r="AS408" s="531"/>
      <c r="AT408" s="531"/>
      <c r="AU408" s="531"/>
      <c r="AV408" s="531"/>
      <c r="AW408" s="531"/>
      <c r="AX408" s="532"/>
    </row>
    <row r="409" spans="1:50" x14ac:dyDescent="0.25">
      <c r="A409" s="524"/>
      <c r="B409" s="525"/>
      <c r="C409" s="525"/>
      <c r="D409" s="525"/>
      <c r="E409" s="525"/>
      <c r="F409" s="525"/>
      <c r="G409" s="525"/>
      <c r="H409" s="526" t="str">
        <f>IF(A410="","",LOOKUP(A410,BoonRef!$A$2:$A$430,BoonRef!$C$2:$C$430))</f>
        <v/>
      </c>
      <c r="I409" s="526"/>
      <c r="J409" s="527"/>
      <c r="K409" s="527"/>
      <c r="L409" s="527"/>
      <c r="M409" s="527"/>
      <c r="N409" s="527"/>
      <c r="O409" s="527"/>
      <c r="P409" s="527"/>
      <c r="Q409" s="527"/>
      <c r="R409" s="527"/>
      <c r="S409" s="527"/>
      <c r="T409" s="527"/>
      <c r="U409" s="527"/>
      <c r="V409" s="527"/>
      <c r="W409" s="527"/>
      <c r="X409" s="527"/>
      <c r="Y409" s="528"/>
      <c r="Z409" s="524"/>
      <c r="AA409" s="525"/>
      <c r="AB409" s="525"/>
      <c r="AC409" s="525"/>
      <c r="AD409" s="525"/>
      <c r="AE409" s="526" t="str">
        <f>IF(Z410="","",LOOKUP(Z410,KanckRef!$A$2:$A$170,KanckRef!$E$2:$E$170))</f>
        <v/>
      </c>
      <c r="AF409" s="526"/>
      <c r="AG409" s="527"/>
      <c r="AH409" s="527"/>
      <c r="AI409" s="527"/>
      <c r="AJ409" s="527"/>
      <c r="AK409" s="527"/>
      <c r="AL409" s="527"/>
      <c r="AM409" s="527"/>
      <c r="AN409" s="527"/>
      <c r="AO409" s="527"/>
      <c r="AP409" s="527"/>
      <c r="AQ409" s="527"/>
      <c r="AR409" s="527"/>
      <c r="AS409" s="527"/>
      <c r="AT409" s="527"/>
      <c r="AU409" s="527"/>
      <c r="AV409" s="527"/>
      <c r="AW409" s="527"/>
      <c r="AX409" s="528"/>
    </row>
    <row r="410" spans="1:50" x14ac:dyDescent="0.25">
      <c r="A410" s="533"/>
      <c r="B410" s="534"/>
      <c r="C410" s="534"/>
      <c r="D410" s="534"/>
      <c r="E410" s="534"/>
      <c r="F410" s="534"/>
      <c r="G410" s="534"/>
      <c r="H410" s="535" t="str">
        <f>IF(A410="","",LOOKUP(A410,BoonRef!$A$2:$A$430,BoonRef!$P$2:$P$430))</f>
        <v/>
      </c>
      <c r="I410" s="535"/>
      <c r="J410" s="529"/>
      <c r="K410" s="529"/>
      <c r="L410" s="529"/>
      <c r="M410" s="529"/>
      <c r="N410" s="529"/>
      <c r="O410" s="529"/>
      <c r="P410" s="529"/>
      <c r="Q410" s="529"/>
      <c r="R410" s="529"/>
      <c r="S410" s="529"/>
      <c r="T410" s="529"/>
      <c r="U410" s="529"/>
      <c r="V410" s="529"/>
      <c r="W410" s="529"/>
      <c r="X410" s="529"/>
      <c r="Y410" s="530"/>
      <c r="Z410" s="533"/>
      <c r="AA410" s="534"/>
      <c r="AB410" s="534"/>
      <c r="AC410" s="534"/>
      <c r="AD410" s="534"/>
      <c r="AE410" s="535" t="str">
        <f>IF(Z410="","",LOOKUP(Z410,KanckRef!$A$2:$A$170,KanckRef!$F$2:$F$170))</f>
        <v/>
      </c>
      <c r="AF410" s="535"/>
      <c r="AG410" s="529"/>
      <c r="AH410" s="529"/>
      <c r="AI410" s="529"/>
      <c r="AJ410" s="529"/>
      <c r="AK410" s="529"/>
      <c r="AL410" s="529"/>
      <c r="AM410" s="529"/>
      <c r="AN410" s="529"/>
      <c r="AO410" s="529"/>
      <c r="AP410" s="529"/>
      <c r="AQ410" s="529"/>
      <c r="AR410" s="529"/>
      <c r="AS410" s="529"/>
      <c r="AT410" s="529"/>
      <c r="AU410" s="529"/>
      <c r="AV410" s="529"/>
      <c r="AW410" s="529"/>
      <c r="AX410" s="530"/>
    </row>
    <row r="411" spans="1:50" ht="15" customHeight="1" x14ac:dyDescent="0.25">
      <c r="A411" s="533"/>
      <c r="B411" s="534"/>
      <c r="C411" s="534"/>
      <c r="D411" s="534"/>
      <c r="E411" s="534"/>
      <c r="F411" s="534"/>
      <c r="G411" s="534"/>
      <c r="H411" s="535" t="str">
        <f>IF(A410="","",LOOKUP(A410,BoonRef!$A$2:$A$430,BoonRef!$Q$2:$Q$430))</f>
        <v/>
      </c>
      <c r="I411" s="535"/>
      <c r="J411" s="529"/>
      <c r="K411" s="529"/>
      <c r="L411" s="529"/>
      <c r="M411" s="529"/>
      <c r="N411" s="529"/>
      <c r="O411" s="529"/>
      <c r="P411" s="529"/>
      <c r="Q411" s="529"/>
      <c r="R411" s="529"/>
      <c r="S411" s="529"/>
      <c r="T411" s="529"/>
      <c r="U411" s="529"/>
      <c r="V411" s="529"/>
      <c r="W411" s="529"/>
      <c r="X411" s="529"/>
      <c r="Y411" s="530"/>
      <c r="Z411" s="533"/>
      <c r="AA411" s="534"/>
      <c r="AB411" s="534"/>
      <c r="AC411" s="534"/>
      <c r="AD411" s="534"/>
      <c r="AE411" s="535"/>
      <c r="AF411" s="535"/>
      <c r="AG411" s="529"/>
      <c r="AH411" s="529"/>
      <c r="AI411" s="529"/>
      <c r="AJ411" s="529"/>
      <c r="AK411" s="529"/>
      <c r="AL411" s="529"/>
      <c r="AM411" s="529"/>
      <c r="AN411" s="529"/>
      <c r="AO411" s="529"/>
      <c r="AP411" s="529"/>
      <c r="AQ411" s="529"/>
      <c r="AR411" s="529"/>
      <c r="AS411" s="529"/>
      <c r="AT411" s="529"/>
      <c r="AU411" s="529"/>
      <c r="AV411" s="529"/>
      <c r="AW411" s="529"/>
      <c r="AX411" s="530"/>
    </row>
    <row r="412" spans="1:50" x14ac:dyDescent="0.25">
      <c r="A412" s="536" t="str">
        <f>IF(A410="","",LOOKUP(A410,BoonRef!$A$2:$A$430,BoonRef!$O$2:$O$430))</f>
        <v/>
      </c>
      <c r="B412" s="535"/>
      <c r="C412" s="535"/>
      <c r="D412" s="535"/>
      <c r="E412" s="535"/>
      <c r="F412" s="535"/>
      <c r="G412" s="535"/>
      <c r="H412" s="535"/>
      <c r="I412" s="535"/>
      <c r="J412" s="529"/>
      <c r="K412" s="529"/>
      <c r="L412" s="529"/>
      <c r="M412" s="529"/>
      <c r="N412" s="529"/>
      <c r="O412" s="529"/>
      <c r="P412" s="529"/>
      <c r="Q412" s="529"/>
      <c r="R412" s="529"/>
      <c r="S412" s="529"/>
      <c r="T412" s="529"/>
      <c r="U412" s="529"/>
      <c r="V412" s="529"/>
      <c r="W412" s="529"/>
      <c r="X412" s="529"/>
      <c r="Y412" s="530"/>
      <c r="Z412" s="536" t="str">
        <f>IF(Z410="","",LOOKUP(Z410,KanckRef!$A$2:$A$170,KanckRef!$D$2:$D$170))</f>
        <v/>
      </c>
      <c r="AA412" s="535"/>
      <c r="AB412" s="535"/>
      <c r="AC412" s="535"/>
      <c r="AD412" s="535"/>
      <c r="AE412" s="535"/>
      <c r="AF412" s="535"/>
      <c r="AG412" s="529"/>
      <c r="AH412" s="529"/>
      <c r="AI412" s="529"/>
      <c r="AJ412" s="529"/>
      <c r="AK412" s="529"/>
      <c r="AL412" s="529"/>
      <c r="AM412" s="529"/>
      <c r="AN412" s="529"/>
      <c r="AO412" s="529"/>
      <c r="AP412" s="529"/>
      <c r="AQ412" s="529"/>
      <c r="AR412" s="529"/>
      <c r="AS412" s="529"/>
      <c r="AT412" s="529"/>
      <c r="AU412" s="529"/>
      <c r="AV412" s="529"/>
      <c r="AW412" s="529"/>
      <c r="AX412" s="530"/>
    </row>
    <row r="413" spans="1:50" x14ac:dyDescent="0.25">
      <c r="A413" s="536" t="str">
        <f>IF(A410="","",LOOKUP(A410,BoonRef!$A$2:$A$430,BoonRef!$N$2:$N$430))</f>
        <v/>
      </c>
      <c r="B413" s="535"/>
      <c r="C413" s="535"/>
      <c r="D413" s="535"/>
      <c r="E413" s="535"/>
      <c r="F413" s="535"/>
      <c r="G413" s="535"/>
      <c r="H413" s="535"/>
      <c r="I413" s="535"/>
      <c r="J413" s="529"/>
      <c r="K413" s="529"/>
      <c r="L413" s="529"/>
      <c r="M413" s="529"/>
      <c r="N413" s="529"/>
      <c r="O413" s="529"/>
      <c r="P413" s="529"/>
      <c r="Q413" s="529"/>
      <c r="R413" s="529"/>
      <c r="S413" s="529"/>
      <c r="T413" s="529"/>
      <c r="U413" s="529"/>
      <c r="V413" s="529"/>
      <c r="W413" s="529"/>
      <c r="X413" s="529"/>
      <c r="Y413" s="530"/>
      <c r="Z413" s="536"/>
      <c r="AA413" s="535"/>
      <c r="AB413" s="535"/>
      <c r="AC413" s="535"/>
      <c r="AD413" s="535"/>
      <c r="AE413" s="535"/>
      <c r="AF413" s="535"/>
      <c r="AG413" s="529"/>
      <c r="AH413" s="529"/>
      <c r="AI413" s="529"/>
      <c r="AJ413" s="529"/>
      <c r="AK413" s="529"/>
      <c r="AL413" s="529"/>
      <c r="AM413" s="529"/>
      <c r="AN413" s="529"/>
      <c r="AO413" s="529"/>
      <c r="AP413" s="529"/>
      <c r="AQ413" s="529"/>
      <c r="AR413" s="529"/>
      <c r="AS413" s="529"/>
      <c r="AT413" s="529"/>
      <c r="AU413" s="529"/>
      <c r="AV413" s="529"/>
      <c r="AW413" s="529"/>
      <c r="AX413" s="530"/>
    </row>
    <row r="414" spans="1:50" ht="15.75" thickBot="1" x14ac:dyDescent="0.3">
      <c r="A414" s="537"/>
      <c r="B414" s="538"/>
      <c r="C414" s="538"/>
      <c r="D414" s="538"/>
      <c r="E414" s="538"/>
      <c r="F414" s="538"/>
      <c r="G414" s="538"/>
      <c r="H414" s="538"/>
      <c r="I414" s="538"/>
      <c r="J414" s="531"/>
      <c r="K414" s="531"/>
      <c r="L414" s="531"/>
      <c r="M414" s="531"/>
      <c r="N414" s="531"/>
      <c r="O414" s="531"/>
      <c r="P414" s="531"/>
      <c r="Q414" s="531"/>
      <c r="R414" s="531"/>
      <c r="S414" s="531"/>
      <c r="T414" s="531"/>
      <c r="U414" s="531"/>
      <c r="V414" s="531"/>
      <c r="W414" s="531"/>
      <c r="X414" s="531"/>
      <c r="Y414" s="532"/>
      <c r="Z414" s="537"/>
      <c r="AA414" s="538"/>
      <c r="AB414" s="538"/>
      <c r="AC414" s="538"/>
      <c r="AD414" s="538"/>
      <c r="AE414" s="538"/>
      <c r="AF414" s="538"/>
      <c r="AG414" s="531"/>
      <c r="AH414" s="531"/>
      <c r="AI414" s="531"/>
      <c r="AJ414" s="531"/>
      <c r="AK414" s="531"/>
      <c r="AL414" s="531"/>
      <c r="AM414" s="531"/>
      <c r="AN414" s="531"/>
      <c r="AO414" s="531"/>
      <c r="AP414" s="531"/>
      <c r="AQ414" s="531"/>
      <c r="AR414" s="531"/>
      <c r="AS414" s="531"/>
      <c r="AT414" s="531"/>
      <c r="AU414" s="531"/>
      <c r="AV414" s="531"/>
      <c r="AW414" s="531"/>
      <c r="AX414" s="532"/>
    </row>
    <row r="415" spans="1:50" x14ac:dyDescent="0.25">
      <c r="A415" s="524"/>
      <c r="B415" s="525"/>
      <c r="C415" s="525"/>
      <c r="D415" s="525"/>
      <c r="E415" s="525"/>
      <c r="F415" s="525"/>
      <c r="G415" s="525"/>
      <c r="H415" s="526" t="str">
        <f>IF(A416="","",LOOKUP(A416,BoonRef!$A$2:$A$430,BoonRef!$C$2:$C$430))</f>
        <v/>
      </c>
      <c r="I415" s="526"/>
      <c r="J415" s="527"/>
      <c r="K415" s="527"/>
      <c r="L415" s="527"/>
      <c r="M415" s="527"/>
      <c r="N415" s="527"/>
      <c r="O415" s="527"/>
      <c r="P415" s="527"/>
      <c r="Q415" s="527"/>
      <c r="R415" s="527"/>
      <c r="S415" s="527"/>
      <c r="T415" s="527"/>
      <c r="U415" s="527"/>
      <c r="V415" s="527"/>
      <c r="W415" s="527"/>
      <c r="X415" s="527"/>
      <c r="Y415" s="528"/>
      <c r="Z415" s="524"/>
      <c r="AA415" s="525"/>
      <c r="AB415" s="525"/>
      <c r="AC415" s="525"/>
      <c r="AD415" s="525"/>
      <c r="AE415" s="526" t="str">
        <f>IF(Z416="","",LOOKUP(Z416,KanckRef!$A$2:$A$170,KanckRef!$E$2:$E$170))</f>
        <v/>
      </c>
      <c r="AF415" s="526"/>
      <c r="AG415" s="527"/>
      <c r="AH415" s="527"/>
      <c r="AI415" s="527"/>
      <c r="AJ415" s="527"/>
      <c r="AK415" s="527"/>
      <c r="AL415" s="527"/>
      <c r="AM415" s="527"/>
      <c r="AN415" s="527"/>
      <c r="AO415" s="527"/>
      <c r="AP415" s="527"/>
      <c r="AQ415" s="527"/>
      <c r="AR415" s="527"/>
      <c r="AS415" s="527"/>
      <c r="AT415" s="527"/>
      <c r="AU415" s="527"/>
      <c r="AV415" s="527"/>
      <c r="AW415" s="527"/>
      <c r="AX415" s="528"/>
    </row>
    <row r="416" spans="1:50" ht="15" customHeight="1" x14ac:dyDescent="0.25">
      <c r="A416" s="533"/>
      <c r="B416" s="534"/>
      <c r="C416" s="534"/>
      <c r="D416" s="534"/>
      <c r="E416" s="534"/>
      <c r="F416" s="534"/>
      <c r="G416" s="534"/>
      <c r="H416" s="535" t="str">
        <f>IF(A416="","",LOOKUP(A416,BoonRef!$A$2:$A$430,BoonRef!$P$2:$P$430))</f>
        <v/>
      </c>
      <c r="I416" s="535"/>
      <c r="J416" s="529"/>
      <c r="K416" s="529"/>
      <c r="L416" s="529"/>
      <c r="M416" s="529"/>
      <c r="N416" s="529"/>
      <c r="O416" s="529"/>
      <c r="P416" s="529"/>
      <c r="Q416" s="529"/>
      <c r="R416" s="529"/>
      <c r="S416" s="529"/>
      <c r="T416" s="529"/>
      <c r="U416" s="529"/>
      <c r="V416" s="529"/>
      <c r="W416" s="529"/>
      <c r="X416" s="529"/>
      <c r="Y416" s="530"/>
      <c r="Z416" s="533"/>
      <c r="AA416" s="534"/>
      <c r="AB416" s="534"/>
      <c r="AC416" s="534"/>
      <c r="AD416" s="534"/>
      <c r="AE416" s="535" t="str">
        <f>IF(Z416="","",LOOKUP(Z416,KanckRef!$A$2:$A$170,KanckRef!$F$2:$F$170))</f>
        <v/>
      </c>
      <c r="AF416" s="535"/>
      <c r="AG416" s="529"/>
      <c r="AH416" s="529"/>
      <c r="AI416" s="529"/>
      <c r="AJ416" s="529"/>
      <c r="AK416" s="529"/>
      <c r="AL416" s="529"/>
      <c r="AM416" s="529"/>
      <c r="AN416" s="529"/>
      <c r="AO416" s="529"/>
      <c r="AP416" s="529"/>
      <c r="AQ416" s="529"/>
      <c r="AR416" s="529"/>
      <c r="AS416" s="529"/>
      <c r="AT416" s="529"/>
      <c r="AU416" s="529"/>
      <c r="AV416" s="529"/>
      <c r="AW416" s="529"/>
      <c r="AX416" s="530"/>
    </row>
    <row r="417" spans="1:50" x14ac:dyDescent="0.25">
      <c r="A417" s="533"/>
      <c r="B417" s="534"/>
      <c r="C417" s="534"/>
      <c r="D417" s="534"/>
      <c r="E417" s="534"/>
      <c r="F417" s="534"/>
      <c r="G417" s="534"/>
      <c r="H417" s="535" t="str">
        <f>IF(A416="","",LOOKUP(A416,BoonRef!$A$2:$A$430,BoonRef!$Q$2:$Q$430))</f>
        <v/>
      </c>
      <c r="I417" s="535"/>
      <c r="J417" s="529"/>
      <c r="K417" s="529"/>
      <c r="L417" s="529"/>
      <c r="M417" s="529"/>
      <c r="N417" s="529"/>
      <c r="O417" s="529"/>
      <c r="P417" s="529"/>
      <c r="Q417" s="529"/>
      <c r="R417" s="529"/>
      <c r="S417" s="529"/>
      <c r="T417" s="529"/>
      <c r="U417" s="529"/>
      <c r="V417" s="529"/>
      <c r="W417" s="529"/>
      <c r="X417" s="529"/>
      <c r="Y417" s="530"/>
      <c r="Z417" s="533"/>
      <c r="AA417" s="534"/>
      <c r="AB417" s="534"/>
      <c r="AC417" s="534"/>
      <c r="AD417" s="534"/>
      <c r="AE417" s="535"/>
      <c r="AF417" s="535"/>
      <c r="AG417" s="529"/>
      <c r="AH417" s="529"/>
      <c r="AI417" s="529"/>
      <c r="AJ417" s="529"/>
      <c r="AK417" s="529"/>
      <c r="AL417" s="529"/>
      <c r="AM417" s="529"/>
      <c r="AN417" s="529"/>
      <c r="AO417" s="529"/>
      <c r="AP417" s="529"/>
      <c r="AQ417" s="529"/>
      <c r="AR417" s="529"/>
      <c r="AS417" s="529"/>
      <c r="AT417" s="529"/>
      <c r="AU417" s="529"/>
      <c r="AV417" s="529"/>
      <c r="AW417" s="529"/>
      <c r="AX417" s="530"/>
    </row>
    <row r="418" spans="1:50" x14ac:dyDescent="0.25">
      <c r="A418" s="536" t="str">
        <f>IF(A416="","",LOOKUP(A416,BoonRef!$A$2:$A$430,BoonRef!$O$2:$O$430))</f>
        <v/>
      </c>
      <c r="B418" s="535"/>
      <c r="C418" s="535"/>
      <c r="D418" s="535"/>
      <c r="E418" s="535"/>
      <c r="F418" s="535"/>
      <c r="G418" s="535"/>
      <c r="H418" s="535"/>
      <c r="I418" s="535"/>
      <c r="J418" s="529"/>
      <c r="K418" s="529"/>
      <c r="L418" s="529"/>
      <c r="M418" s="529"/>
      <c r="N418" s="529"/>
      <c r="O418" s="529"/>
      <c r="P418" s="529"/>
      <c r="Q418" s="529"/>
      <c r="R418" s="529"/>
      <c r="S418" s="529"/>
      <c r="T418" s="529"/>
      <c r="U418" s="529"/>
      <c r="V418" s="529"/>
      <c r="W418" s="529"/>
      <c r="X418" s="529"/>
      <c r="Y418" s="530"/>
      <c r="Z418" s="536" t="str">
        <f>IF(Z416="","",LOOKUP(Z416,KanckRef!$A$2:$A$170,KanckRef!$D$2:$D$170))</f>
        <v/>
      </c>
      <c r="AA418" s="535"/>
      <c r="AB418" s="535"/>
      <c r="AC418" s="535"/>
      <c r="AD418" s="535"/>
      <c r="AE418" s="535"/>
      <c r="AF418" s="535"/>
      <c r="AG418" s="529"/>
      <c r="AH418" s="529"/>
      <c r="AI418" s="529"/>
      <c r="AJ418" s="529"/>
      <c r="AK418" s="529"/>
      <c r="AL418" s="529"/>
      <c r="AM418" s="529"/>
      <c r="AN418" s="529"/>
      <c r="AO418" s="529"/>
      <c r="AP418" s="529"/>
      <c r="AQ418" s="529"/>
      <c r="AR418" s="529"/>
      <c r="AS418" s="529"/>
      <c r="AT418" s="529"/>
      <c r="AU418" s="529"/>
      <c r="AV418" s="529"/>
      <c r="AW418" s="529"/>
      <c r="AX418" s="530"/>
    </row>
    <row r="419" spans="1:50" x14ac:dyDescent="0.25">
      <c r="A419" s="536" t="str">
        <f>IF(A416="","",LOOKUP(A416,BoonRef!$A$2:$A$430,BoonRef!$N$2:$N$430))</f>
        <v/>
      </c>
      <c r="B419" s="535"/>
      <c r="C419" s="535"/>
      <c r="D419" s="535"/>
      <c r="E419" s="535"/>
      <c r="F419" s="535"/>
      <c r="G419" s="535"/>
      <c r="H419" s="535"/>
      <c r="I419" s="535"/>
      <c r="J419" s="529"/>
      <c r="K419" s="529"/>
      <c r="L419" s="529"/>
      <c r="M419" s="529"/>
      <c r="N419" s="529"/>
      <c r="O419" s="529"/>
      <c r="P419" s="529"/>
      <c r="Q419" s="529"/>
      <c r="R419" s="529"/>
      <c r="S419" s="529"/>
      <c r="T419" s="529"/>
      <c r="U419" s="529"/>
      <c r="V419" s="529"/>
      <c r="W419" s="529"/>
      <c r="X419" s="529"/>
      <c r="Y419" s="530"/>
      <c r="Z419" s="536"/>
      <c r="AA419" s="535"/>
      <c r="AB419" s="535"/>
      <c r="AC419" s="535"/>
      <c r="AD419" s="535"/>
      <c r="AE419" s="535"/>
      <c r="AF419" s="535"/>
      <c r="AG419" s="529"/>
      <c r="AH419" s="529"/>
      <c r="AI419" s="529"/>
      <c r="AJ419" s="529"/>
      <c r="AK419" s="529"/>
      <c r="AL419" s="529"/>
      <c r="AM419" s="529"/>
      <c r="AN419" s="529"/>
      <c r="AO419" s="529"/>
      <c r="AP419" s="529"/>
      <c r="AQ419" s="529"/>
      <c r="AR419" s="529"/>
      <c r="AS419" s="529"/>
      <c r="AT419" s="529"/>
      <c r="AU419" s="529"/>
      <c r="AV419" s="529"/>
      <c r="AW419" s="529"/>
      <c r="AX419" s="530"/>
    </row>
    <row r="420" spans="1:50" ht="15.75" thickBot="1" x14ac:dyDescent="0.3">
      <c r="A420" s="537"/>
      <c r="B420" s="538"/>
      <c r="C420" s="538"/>
      <c r="D420" s="538"/>
      <c r="E420" s="538"/>
      <c r="F420" s="538"/>
      <c r="G420" s="538"/>
      <c r="H420" s="538"/>
      <c r="I420" s="538"/>
      <c r="J420" s="531"/>
      <c r="K420" s="531"/>
      <c r="L420" s="531"/>
      <c r="M420" s="531"/>
      <c r="N420" s="531"/>
      <c r="O420" s="531"/>
      <c r="P420" s="531"/>
      <c r="Q420" s="531"/>
      <c r="R420" s="531"/>
      <c r="S420" s="531"/>
      <c r="T420" s="531"/>
      <c r="U420" s="531"/>
      <c r="V420" s="531"/>
      <c r="W420" s="531"/>
      <c r="X420" s="531"/>
      <c r="Y420" s="532"/>
      <c r="Z420" s="537"/>
      <c r="AA420" s="538"/>
      <c r="AB420" s="538"/>
      <c r="AC420" s="538"/>
      <c r="AD420" s="538"/>
      <c r="AE420" s="538"/>
      <c r="AF420" s="538"/>
      <c r="AG420" s="531"/>
      <c r="AH420" s="531"/>
      <c r="AI420" s="531"/>
      <c r="AJ420" s="531"/>
      <c r="AK420" s="531"/>
      <c r="AL420" s="531"/>
      <c r="AM420" s="531"/>
      <c r="AN420" s="531"/>
      <c r="AO420" s="531"/>
      <c r="AP420" s="531"/>
      <c r="AQ420" s="531"/>
      <c r="AR420" s="531"/>
      <c r="AS420" s="531"/>
      <c r="AT420" s="531"/>
      <c r="AU420" s="531"/>
      <c r="AV420" s="531"/>
      <c r="AW420" s="531"/>
      <c r="AX420" s="532"/>
    </row>
    <row r="421" spans="1:50" x14ac:dyDescent="0.25">
      <c r="A421" s="524"/>
      <c r="B421" s="525"/>
      <c r="C421" s="525"/>
      <c r="D421" s="525"/>
      <c r="E421" s="525"/>
      <c r="F421" s="525"/>
      <c r="G421" s="525"/>
      <c r="H421" s="526" t="str">
        <f>IF(A422="","",LOOKUP(A422,BoonRef!$A$2:$A$430,BoonRef!$C$2:$C$430))</f>
        <v/>
      </c>
      <c r="I421" s="526"/>
      <c r="J421" s="527"/>
      <c r="K421" s="527"/>
      <c r="L421" s="527"/>
      <c r="M421" s="527"/>
      <c r="N421" s="527"/>
      <c r="O421" s="527"/>
      <c r="P421" s="527"/>
      <c r="Q421" s="527"/>
      <c r="R421" s="527"/>
      <c r="S421" s="527"/>
      <c r="T421" s="527"/>
      <c r="U421" s="527"/>
      <c r="V421" s="527"/>
      <c r="W421" s="527"/>
      <c r="X421" s="527"/>
      <c r="Y421" s="528"/>
      <c r="Z421" s="524"/>
      <c r="AA421" s="525"/>
      <c r="AB421" s="525"/>
      <c r="AC421" s="525"/>
      <c r="AD421" s="525"/>
      <c r="AE421" s="526" t="str">
        <f>IF(Z422="","",LOOKUP(Z422,KanckRef!$A$2:$A$170,KanckRef!$E$2:$E$170))</f>
        <v/>
      </c>
      <c r="AF421" s="526"/>
      <c r="AG421" s="527"/>
      <c r="AH421" s="527"/>
      <c r="AI421" s="527"/>
      <c r="AJ421" s="527"/>
      <c r="AK421" s="527"/>
      <c r="AL421" s="527"/>
      <c r="AM421" s="527"/>
      <c r="AN421" s="527"/>
      <c r="AO421" s="527"/>
      <c r="AP421" s="527"/>
      <c r="AQ421" s="527"/>
      <c r="AR421" s="527"/>
      <c r="AS421" s="527"/>
      <c r="AT421" s="527"/>
      <c r="AU421" s="527"/>
      <c r="AV421" s="527"/>
      <c r="AW421" s="527"/>
      <c r="AX421" s="528"/>
    </row>
    <row r="422" spans="1:50" x14ac:dyDescent="0.25">
      <c r="A422" s="533"/>
      <c r="B422" s="534"/>
      <c r="C422" s="534"/>
      <c r="D422" s="534"/>
      <c r="E422" s="534"/>
      <c r="F422" s="534"/>
      <c r="G422" s="534"/>
      <c r="H422" s="535" t="str">
        <f>IF(A422="","",LOOKUP(A422,BoonRef!$A$2:$A$430,BoonRef!$P$2:$P$430))</f>
        <v/>
      </c>
      <c r="I422" s="535"/>
      <c r="J422" s="529"/>
      <c r="K422" s="529"/>
      <c r="L422" s="529"/>
      <c r="M422" s="529"/>
      <c r="N422" s="529"/>
      <c r="O422" s="529"/>
      <c r="P422" s="529"/>
      <c r="Q422" s="529"/>
      <c r="R422" s="529"/>
      <c r="S422" s="529"/>
      <c r="T422" s="529"/>
      <c r="U422" s="529"/>
      <c r="V422" s="529"/>
      <c r="W422" s="529"/>
      <c r="X422" s="529"/>
      <c r="Y422" s="530"/>
      <c r="Z422" s="533"/>
      <c r="AA422" s="534"/>
      <c r="AB422" s="534"/>
      <c r="AC422" s="534"/>
      <c r="AD422" s="534"/>
      <c r="AE422" s="535" t="str">
        <f>IF(Z422="","",LOOKUP(Z422,KanckRef!$A$2:$A$170,KanckRef!$F$2:$F$170))</f>
        <v/>
      </c>
      <c r="AF422" s="535"/>
      <c r="AG422" s="529"/>
      <c r="AH422" s="529"/>
      <c r="AI422" s="529"/>
      <c r="AJ422" s="529"/>
      <c r="AK422" s="529"/>
      <c r="AL422" s="529"/>
      <c r="AM422" s="529"/>
      <c r="AN422" s="529"/>
      <c r="AO422" s="529"/>
      <c r="AP422" s="529"/>
      <c r="AQ422" s="529"/>
      <c r="AR422" s="529"/>
      <c r="AS422" s="529"/>
      <c r="AT422" s="529"/>
      <c r="AU422" s="529"/>
      <c r="AV422" s="529"/>
      <c r="AW422" s="529"/>
      <c r="AX422" s="530"/>
    </row>
    <row r="423" spans="1:50" x14ac:dyDescent="0.25">
      <c r="A423" s="533"/>
      <c r="B423" s="534"/>
      <c r="C423" s="534"/>
      <c r="D423" s="534"/>
      <c r="E423" s="534"/>
      <c r="F423" s="534"/>
      <c r="G423" s="534"/>
      <c r="H423" s="535" t="str">
        <f>IF(A422="","",LOOKUP(A422,BoonRef!$A$2:$A$430,BoonRef!$Q$2:$Q$430))</f>
        <v/>
      </c>
      <c r="I423" s="535"/>
      <c r="J423" s="529"/>
      <c r="K423" s="529"/>
      <c r="L423" s="529"/>
      <c r="M423" s="529"/>
      <c r="N423" s="529"/>
      <c r="O423" s="529"/>
      <c r="P423" s="529"/>
      <c r="Q423" s="529"/>
      <c r="R423" s="529"/>
      <c r="S423" s="529"/>
      <c r="T423" s="529"/>
      <c r="U423" s="529"/>
      <c r="V423" s="529"/>
      <c r="W423" s="529"/>
      <c r="X423" s="529"/>
      <c r="Y423" s="530"/>
      <c r="Z423" s="533"/>
      <c r="AA423" s="534"/>
      <c r="AB423" s="534"/>
      <c r="AC423" s="534"/>
      <c r="AD423" s="534"/>
      <c r="AE423" s="535"/>
      <c r="AF423" s="535"/>
      <c r="AG423" s="529"/>
      <c r="AH423" s="529"/>
      <c r="AI423" s="529"/>
      <c r="AJ423" s="529"/>
      <c r="AK423" s="529"/>
      <c r="AL423" s="529"/>
      <c r="AM423" s="529"/>
      <c r="AN423" s="529"/>
      <c r="AO423" s="529"/>
      <c r="AP423" s="529"/>
      <c r="AQ423" s="529"/>
      <c r="AR423" s="529"/>
      <c r="AS423" s="529"/>
      <c r="AT423" s="529"/>
      <c r="AU423" s="529"/>
      <c r="AV423" s="529"/>
      <c r="AW423" s="529"/>
      <c r="AX423" s="530"/>
    </row>
    <row r="424" spans="1:50" x14ac:dyDescent="0.25">
      <c r="A424" s="536" t="str">
        <f>IF(A422="","",LOOKUP(A422,BoonRef!$A$2:$A$430,BoonRef!$O$2:$O$430))</f>
        <v/>
      </c>
      <c r="B424" s="535"/>
      <c r="C424" s="535"/>
      <c r="D424" s="535"/>
      <c r="E424" s="535"/>
      <c r="F424" s="535"/>
      <c r="G424" s="535"/>
      <c r="H424" s="535"/>
      <c r="I424" s="535"/>
      <c r="J424" s="529"/>
      <c r="K424" s="529"/>
      <c r="L424" s="529"/>
      <c r="M424" s="529"/>
      <c r="N424" s="529"/>
      <c r="O424" s="529"/>
      <c r="P424" s="529"/>
      <c r="Q424" s="529"/>
      <c r="R424" s="529"/>
      <c r="S424" s="529"/>
      <c r="T424" s="529"/>
      <c r="U424" s="529"/>
      <c r="V424" s="529"/>
      <c r="W424" s="529"/>
      <c r="X424" s="529"/>
      <c r="Y424" s="530"/>
      <c r="Z424" s="536" t="str">
        <f>IF(Z422="","",LOOKUP(Z422,KanckRef!$A$2:$A$170,KanckRef!$D$2:$D$170))</f>
        <v/>
      </c>
      <c r="AA424" s="535"/>
      <c r="AB424" s="535"/>
      <c r="AC424" s="535"/>
      <c r="AD424" s="535"/>
      <c r="AE424" s="535"/>
      <c r="AF424" s="535"/>
      <c r="AG424" s="529"/>
      <c r="AH424" s="529"/>
      <c r="AI424" s="529"/>
      <c r="AJ424" s="529"/>
      <c r="AK424" s="529"/>
      <c r="AL424" s="529"/>
      <c r="AM424" s="529"/>
      <c r="AN424" s="529"/>
      <c r="AO424" s="529"/>
      <c r="AP424" s="529"/>
      <c r="AQ424" s="529"/>
      <c r="AR424" s="529"/>
      <c r="AS424" s="529"/>
      <c r="AT424" s="529"/>
      <c r="AU424" s="529"/>
      <c r="AV424" s="529"/>
      <c r="AW424" s="529"/>
      <c r="AX424" s="530"/>
    </row>
    <row r="425" spans="1:50" x14ac:dyDescent="0.25">
      <c r="A425" s="536" t="str">
        <f>IF(A422="","",LOOKUP(A422,BoonRef!$A$2:$A$430,BoonRef!$N$2:$N$430))</f>
        <v/>
      </c>
      <c r="B425" s="535"/>
      <c r="C425" s="535"/>
      <c r="D425" s="535"/>
      <c r="E425" s="535"/>
      <c r="F425" s="535"/>
      <c r="G425" s="535"/>
      <c r="H425" s="535"/>
      <c r="I425" s="535"/>
      <c r="J425" s="529"/>
      <c r="K425" s="529"/>
      <c r="L425" s="529"/>
      <c r="M425" s="529"/>
      <c r="N425" s="529"/>
      <c r="O425" s="529"/>
      <c r="P425" s="529"/>
      <c r="Q425" s="529"/>
      <c r="R425" s="529"/>
      <c r="S425" s="529"/>
      <c r="T425" s="529"/>
      <c r="U425" s="529"/>
      <c r="V425" s="529"/>
      <c r="W425" s="529"/>
      <c r="X425" s="529"/>
      <c r="Y425" s="530"/>
      <c r="Z425" s="536"/>
      <c r="AA425" s="535"/>
      <c r="AB425" s="535"/>
      <c r="AC425" s="535"/>
      <c r="AD425" s="535"/>
      <c r="AE425" s="535"/>
      <c r="AF425" s="535"/>
      <c r="AG425" s="529"/>
      <c r="AH425" s="529"/>
      <c r="AI425" s="529"/>
      <c r="AJ425" s="529"/>
      <c r="AK425" s="529"/>
      <c r="AL425" s="529"/>
      <c r="AM425" s="529"/>
      <c r="AN425" s="529"/>
      <c r="AO425" s="529"/>
      <c r="AP425" s="529"/>
      <c r="AQ425" s="529"/>
      <c r="AR425" s="529"/>
      <c r="AS425" s="529"/>
      <c r="AT425" s="529"/>
      <c r="AU425" s="529"/>
      <c r="AV425" s="529"/>
      <c r="AW425" s="529"/>
      <c r="AX425" s="530"/>
    </row>
    <row r="426" spans="1:50" ht="15.75" thickBot="1" x14ac:dyDescent="0.3">
      <c r="A426" s="537"/>
      <c r="B426" s="538"/>
      <c r="C426" s="538"/>
      <c r="D426" s="538"/>
      <c r="E426" s="538"/>
      <c r="F426" s="538"/>
      <c r="G426" s="538"/>
      <c r="H426" s="538"/>
      <c r="I426" s="538"/>
      <c r="J426" s="531"/>
      <c r="K426" s="531"/>
      <c r="L426" s="531"/>
      <c r="M426" s="531"/>
      <c r="N426" s="531"/>
      <c r="O426" s="531"/>
      <c r="P426" s="531"/>
      <c r="Q426" s="531"/>
      <c r="R426" s="531"/>
      <c r="S426" s="531"/>
      <c r="T426" s="531"/>
      <c r="U426" s="531"/>
      <c r="V426" s="531"/>
      <c r="W426" s="531"/>
      <c r="X426" s="531"/>
      <c r="Y426" s="532"/>
      <c r="Z426" s="537"/>
      <c r="AA426" s="538"/>
      <c r="AB426" s="538"/>
      <c r="AC426" s="538"/>
      <c r="AD426" s="538"/>
      <c r="AE426" s="538"/>
      <c r="AF426" s="538"/>
      <c r="AG426" s="531"/>
      <c r="AH426" s="531"/>
      <c r="AI426" s="531"/>
      <c r="AJ426" s="531"/>
      <c r="AK426" s="531"/>
      <c r="AL426" s="531"/>
      <c r="AM426" s="531"/>
      <c r="AN426" s="531"/>
      <c r="AO426" s="531"/>
      <c r="AP426" s="531"/>
      <c r="AQ426" s="531"/>
      <c r="AR426" s="531"/>
      <c r="AS426" s="531"/>
      <c r="AT426" s="531"/>
      <c r="AU426" s="531"/>
      <c r="AV426" s="531"/>
      <c r="AW426" s="531"/>
      <c r="AX426" s="532"/>
    </row>
    <row r="427" spans="1:50" x14ac:dyDescent="0.25">
      <c r="A427" s="524"/>
      <c r="B427" s="525"/>
      <c r="C427" s="525"/>
      <c r="D427" s="525"/>
      <c r="E427" s="525"/>
      <c r="F427" s="525"/>
      <c r="G427" s="525"/>
      <c r="H427" s="526" t="str">
        <f>IF(A428="","",LOOKUP(A428,BoonRef!$A$2:$A$430,BoonRef!$C$2:$C$430))</f>
        <v/>
      </c>
      <c r="I427" s="526"/>
      <c r="J427" s="527"/>
      <c r="K427" s="527"/>
      <c r="L427" s="527"/>
      <c r="M427" s="527"/>
      <c r="N427" s="527"/>
      <c r="O427" s="527"/>
      <c r="P427" s="527"/>
      <c r="Q427" s="527"/>
      <c r="R427" s="527"/>
      <c r="S427" s="527"/>
      <c r="T427" s="527"/>
      <c r="U427" s="527"/>
      <c r="V427" s="527"/>
      <c r="W427" s="527"/>
      <c r="X427" s="527"/>
      <c r="Y427" s="528"/>
      <c r="Z427" s="524"/>
      <c r="AA427" s="525"/>
      <c r="AB427" s="525"/>
      <c r="AC427" s="525"/>
      <c r="AD427" s="525"/>
      <c r="AE427" s="526" t="str">
        <f>IF(Z428="","",LOOKUP(Z428,KanckRef!$A$2:$A$170,KanckRef!$E$2:$E$170))</f>
        <v/>
      </c>
      <c r="AF427" s="526"/>
      <c r="AG427" s="527"/>
      <c r="AH427" s="527"/>
      <c r="AI427" s="527"/>
      <c r="AJ427" s="527"/>
      <c r="AK427" s="527"/>
      <c r="AL427" s="527"/>
      <c r="AM427" s="527"/>
      <c r="AN427" s="527"/>
      <c r="AO427" s="527"/>
      <c r="AP427" s="527"/>
      <c r="AQ427" s="527"/>
      <c r="AR427" s="527"/>
      <c r="AS427" s="527"/>
      <c r="AT427" s="527"/>
      <c r="AU427" s="527"/>
      <c r="AV427" s="527"/>
      <c r="AW427" s="527"/>
      <c r="AX427" s="528"/>
    </row>
    <row r="428" spans="1:50" x14ac:dyDescent="0.25">
      <c r="A428" s="533"/>
      <c r="B428" s="534"/>
      <c r="C428" s="534"/>
      <c r="D428" s="534"/>
      <c r="E428" s="534"/>
      <c r="F428" s="534"/>
      <c r="G428" s="534"/>
      <c r="H428" s="535" t="str">
        <f>IF(A428="","",LOOKUP(A428,BoonRef!$A$2:$A$430,BoonRef!$P$2:$P$430))</f>
        <v/>
      </c>
      <c r="I428" s="535"/>
      <c r="J428" s="529"/>
      <c r="K428" s="529"/>
      <c r="L428" s="529"/>
      <c r="M428" s="529"/>
      <c r="N428" s="529"/>
      <c r="O428" s="529"/>
      <c r="P428" s="529"/>
      <c r="Q428" s="529"/>
      <c r="R428" s="529"/>
      <c r="S428" s="529"/>
      <c r="T428" s="529"/>
      <c r="U428" s="529"/>
      <c r="V428" s="529"/>
      <c r="W428" s="529"/>
      <c r="X428" s="529"/>
      <c r="Y428" s="530"/>
      <c r="Z428" s="533"/>
      <c r="AA428" s="534"/>
      <c r="AB428" s="534"/>
      <c r="AC428" s="534"/>
      <c r="AD428" s="534"/>
      <c r="AE428" s="535" t="str">
        <f>IF(Z428="","",LOOKUP(Z428,KanckRef!$A$2:$A$170,KanckRef!$F$2:$F$170))</f>
        <v/>
      </c>
      <c r="AF428" s="535"/>
      <c r="AG428" s="529"/>
      <c r="AH428" s="529"/>
      <c r="AI428" s="529"/>
      <c r="AJ428" s="529"/>
      <c r="AK428" s="529"/>
      <c r="AL428" s="529"/>
      <c r="AM428" s="529"/>
      <c r="AN428" s="529"/>
      <c r="AO428" s="529"/>
      <c r="AP428" s="529"/>
      <c r="AQ428" s="529"/>
      <c r="AR428" s="529"/>
      <c r="AS428" s="529"/>
      <c r="AT428" s="529"/>
      <c r="AU428" s="529"/>
      <c r="AV428" s="529"/>
      <c r="AW428" s="529"/>
      <c r="AX428" s="530"/>
    </row>
    <row r="429" spans="1:50" x14ac:dyDescent="0.25">
      <c r="A429" s="533"/>
      <c r="B429" s="534"/>
      <c r="C429" s="534"/>
      <c r="D429" s="534"/>
      <c r="E429" s="534"/>
      <c r="F429" s="534"/>
      <c r="G429" s="534"/>
      <c r="H429" s="535" t="str">
        <f>IF(A428="","",LOOKUP(A428,BoonRef!$A$2:$A$430,BoonRef!$Q$2:$Q$430))</f>
        <v/>
      </c>
      <c r="I429" s="535"/>
      <c r="J429" s="529"/>
      <c r="K429" s="529"/>
      <c r="L429" s="529"/>
      <c r="M429" s="529"/>
      <c r="N429" s="529"/>
      <c r="O429" s="529"/>
      <c r="P429" s="529"/>
      <c r="Q429" s="529"/>
      <c r="R429" s="529"/>
      <c r="S429" s="529"/>
      <c r="T429" s="529"/>
      <c r="U429" s="529"/>
      <c r="V429" s="529"/>
      <c r="W429" s="529"/>
      <c r="X429" s="529"/>
      <c r="Y429" s="530"/>
      <c r="Z429" s="533"/>
      <c r="AA429" s="534"/>
      <c r="AB429" s="534"/>
      <c r="AC429" s="534"/>
      <c r="AD429" s="534"/>
      <c r="AE429" s="535"/>
      <c r="AF429" s="535"/>
      <c r="AG429" s="529"/>
      <c r="AH429" s="529"/>
      <c r="AI429" s="529"/>
      <c r="AJ429" s="529"/>
      <c r="AK429" s="529"/>
      <c r="AL429" s="529"/>
      <c r="AM429" s="529"/>
      <c r="AN429" s="529"/>
      <c r="AO429" s="529"/>
      <c r="AP429" s="529"/>
      <c r="AQ429" s="529"/>
      <c r="AR429" s="529"/>
      <c r="AS429" s="529"/>
      <c r="AT429" s="529"/>
      <c r="AU429" s="529"/>
      <c r="AV429" s="529"/>
      <c r="AW429" s="529"/>
      <c r="AX429" s="530"/>
    </row>
    <row r="430" spans="1:50" x14ac:dyDescent="0.25">
      <c r="A430" s="536" t="str">
        <f>IF(A428="","",LOOKUP(A428,BoonRef!$A$2:$A$430,BoonRef!$O$2:$O$430))</f>
        <v/>
      </c>
      <c r="B430" s="535"/>
      <c r="C430" s="535"/>
      <c r="D430" s="535"/>
      <c r="E430" s="535"/>
      <c r="F430" s="535"/>
      <c r="G430" s="535"/>
      <c r="H430" s="535"/>
      <c r="I430" s="535"/>
      <c r="J430" s="529"/>
      <c r="K430" s="529"/>
      <c r="L430" s="529"/>
      <c r="M430" s="529"/>
      <c r="N430" s="529"/>
      <c r="O430" s="529"/>
      <c r="P430" s="529"/>
      <c r="Q430" s="529"/>
      <c r="R430" s="529"/>
      <c r="S430" s="529"/>
      <c r="T430" s="529"/>
      <c r="U430" s="529"/>
      <c r="V430" s="529"/>
      <c r="W430" s="529"/>
      <c r="X430" s="529"/>
      <c r="Y430" s="530"/>
      <c r="Z430" s="536" t="str">
        <f>IF(Z428="","",LOOKUP(Z428,KanckRef!$A$2:$A$170,KanckRef!$D$2:$D$170))</f>
        <v/>
      </c>
      <c r="AA430" s="535"/>
      <c r="AB430" s="535"/>
      <c r="AC430" s="535"/>
      <c r="AD430" s="535"/>
      <c r="AE430" s="535"/>
      <c r="AF430" s="535"/>
      <c r="AG430" s="529"/>
      <c r="AH430" s="529"/>
      <c r="AI430" s="529"/>
      <c r="AJ430" s="529"/>
      <c r="AK430" s="529"/>
      <c r="AL430" s="529"/>
      <c r="AM430" s="529"/>
      <c r="AN430" s="529"/>
      <c r="AO430" s="529"/>
      <c r="AP430" s="529"/>
      <c r="AQ430" s="529"/>
      <c r="AR430" s="529"/>
      <c r="AS430" s="529"/>
      <c r="AT430" s="529"/>
      <c r="AU430" s="529"/>
      <c r="AV430" s="529"/>
      <c r="AW430" s="529"/>
      <c r="AX430" s="530"/>
    </row>
    <row r="431" spans="1:50" x14ac:dyDescent="0.25">
      <c r="A431" s="536" t="str">
        <f>IF(A428="","",LOOKUP(A428,BoonRef!$A$2:$A$430,BoonRef!$N$2:$N$430))</f>
        <v/>
      </c>
      <c r="B431" s="535"/>
      <c r="C431" s="535"/>
      <c r="D431" s="535"/>
      <c r="E431" s="535"/>
      <c r="F431" s="535"/>
      <c r="G431" s="535"/>
      <c r="H431" s="535"/>
      <c r="I431" s="535"/>
      <c r="J431" s="529"/>
      <c r="K431" s="529"/>
      <c r="L431" s="529"/>
      <c r="M431" s="529"/>
      <c r="N431" s="529"/>
      <c r="O431" s="529"/>
      <c r="P431" s="529"/>
      <c r="Q431" s="529"/>
      <c r="R431" s="529"/>
      <c r="S431" s="529"/>
      <c r="T431" s="529"/>
      <c r="U431" s="529"/>
      <c r="V431" s="529"/>
      <c r="W431" s="529"/>
      <c r="X431" s="529"/>
      <c r="Y431" s="530"/>
      <c r="Z431" s="536"/>
      <c r="AA431" s="535"/>
      <c r="AB431" s="535"/>
      <c r="AC431" s="535"/>
      <c r="AD431" s="535"/>
      <c r="AE431" s="535"/>
      <c r="AF431" s="535"/>
      <c r="AG431" s="529"/>
      <c r="AH431" s="529"/>
      <c r="AI431" s="529"/>
      <c r="AJ431" s="529"/>
      <c r="AK431" s="529"/>
      <c r="AL431" s="529"/>
      <c r="AM431" s="529"/>
      <c r="AN431" s="529"/>
      <c r="AO431" s="529"/>
      <c r="AP431" s="529"/>
      <c r="AQ431" s="529"/>
      <c r="AR431" s="529"/>
      <c r="AS431" s="529"/>
      <c r="AT431" s="529"/>
      <c r="AU431" s="529"/>
      <c r="AV431" s="529"/>
      <c r="AW431" s="529"/>
      <c r="AX431" s="530"/>
    </row>
    <row r="432" spans="1:50" ht="15.75" thickBot="1" x14ac:dyDescent="0.3">
      <c r="A432" s="537"/>
      <c r="B432" s="538"/>
      <c r="C432" s="538"/>
      <c r="D432" s="538"/>
      <c r="E432" s="538"/>
      <c r="F432" s="538"/>
      <c r="G432" s="538"/>
      <c r="H432" s="538"/>
      <c r="I432" s="538"/>
      <c r="J432" s="531"/>
      <c r="K432" s="531"/>
      <c r="L432" s="531"/>
      <c r="M432" s="531"/>
      <c r="N432" s="531"/>
      <c r="O432" s="531"/>
      <c r="P432" s="531"/>
      <c r="Q432" s="531"/>
      <c r="R432" s="531"/>
      <c r="S432" s="531"/>
      <c r="T432" s="531"/>
      <c r="U432" s="531"/>
      <c r="V432" s="531"/>
      <c r="W432" s="531"/>
      <c r="X432" s="531"/>
      <c r="Y432" s="532"/>
      <c r="Z432" s="537"/>
      <c r="AA432" s="538"/>
      <c r="AB432" s="538"/>
      <c r="AC432" s="538"/>
      <c r="AD432" s="538"/>
      <c r="AE432" s="538"/>
      <c r="AF432" s="538"/>
      <c r="AG432" s="531"/>
      <c r="AH432" s="531"/>
      <c r="AI432" s="531"/>
      <c r="AJ432" s="531"/>
      <c r="AK432" s="531"/>
      <c r="AL432" s="531"/>
      <c r="AM432" s="531"/>
      <c r="AN432" s="531"/>
      <c r="AO432" s="531"/>
      <c r="AP432" s="531"/>
      <c r="AQ432" s="531"/>
      <c r="AR432" s="531"/>
      <c r="AS432" s="531"/>
      <c r="AT432" s="531"/>
      <c r="AU432" s="531"/>
      <c r="AV432" s="531"/>
      <c r="AW432" s="531"/>
      <c r="AX432" s="532"/>
    </row>
    <row r="433" spans="1:50" x14ac:dyDescent="0.25">
      <c r="A433" s="524"/>
      <c r="B433" s="525"/>
      <c r="C433" s="525"/>
      <c r="D433" s="525"/>
      <c r="E433" s="525"/>
      <c r="F433" s="525"/>
      <c r="G433" s="525"/>
      <c r="H433" s="526" t="str">
        <f>IF(A434="","",LOOKUP(A434,BoonRef!$A$2:$A$430,BoonRef!$C$2:$C$430))</f>
        <v/>
      </c>
      <c r="I433" s="526"/>
      <c r="J433" s="527"/>
      <c r="K433" s="527"/>
      <c r="L433" s="527"/>
      <c r="M433" s="527"/>
      <c r="N433" s="527"/>
      <c r="O433" s="527"/>
      <c r="P433" s="527"/>
      <c r="Q433" s="527"/>
      <c r="R433" s="527"/>
      <c r="S433" s="527"/>
      <c r="T433" s="527"/>
      <c r="U433" s="527"/>
      <c r="V433" s="527"/>
      <c r="W433" s="527"/>
      <c r="X433" s="527"/>
      <c r="Y433" s="528"/>
      <c r="Z433" s="524"/>
      <c r="AA433" s="525"/>
      <c r="AB433" s="525"/>
      <c r="AC433" s="525"/>
      <c r="AD433" s="525"/>
      <c r="AE433" s="526" t="str">
        <f>IF(Z434="","",LOOKUP(Z434,KanckRef!$A$2:$A$170,KanckRef!$E$2:$E$170))</f>
        <v/>
      </c>
      <c r="AF433" s="526"/>
      <c r="AG433" s="527"/>
      <c r="AH433" s="527"/>
      <c r="AI433" s="527"/>
      <c r="AJ433" s="527"/>
      <c r="AK433" s="527"/>
      <c r="AL433" s="527"/>
      <c r="AM433" s="527"/>
      <c r="AN433" s="527"/>
      <c r="AO433" s="527"/>
      <c r="AP433" s="527"/>
      <c r="AQ433" s="527"/>
      <c r="AR433" s="527"/>
      <c r="AS433" s="527"/>
      <c r="AT433" s="527"/>
      <c r="AU433" s="527"/>
      <c r="AV433" s="527"/>
      <c r="AW433" s="527"/>
      <c r="AX433" s="528"/>
    </row>
    <row r="434" spans="1:50" x14ac:dyDescent="0.25">
      <c r="A434" s="533"/>
      <c r="B434" s="534"/>
      <c r="C434" s="534"/>
      <c r="D434" s="534"/>
      <c r="E434" s="534"/>
      <c r="F434" s="534"/>
      <c r="G434" s="534"/>
      <c r="H434" s="535" t="str">
        <f>IF(A434="","",LOOKUP(A434,BoonRef!$A$2:$A$430,BoonRef!$P$2:$P$430))</f>
        <v/>
      </c>
      <c r="I434" s="535"/>
      <c r="J434" s="529"/>
      <c r="K434" s="529"/>
      <c r="L434" s="529"/>
      <c r="M434" s="529"/>
      <c r="N434" s="529"/>
      <c r="O434" s="529"/>
      <c r="P434" s="529"/>
      <c r="Q434" s="529"/>
      <c r="R434" s="529"/>
      <c r="S434" s="529"/>
      <c r="T434" s="529"/>
      <c r="U434" s="529"/>
      <c r="V434" s="529"/>
      <c r="W434" s="529"/>
      <c r="X434" s="529"/>
      <c r="Y434" s="530"/>
      <c r="Z434" s="533"/>
      <c r="AA434" s="534"/>
      <c r="AB434" s="534"/>
      <c r="AC434" s="534"/>
      <c r="AD434" s="534"/>
      <c r="AE434" s="535" t="str">
        <f>IF(Z434="","",LOOKUP(Z434,KanckRef!$A$2:$A$170,KanckRef!$F$2:$F$170))</f>
        <v/>
      </c>
      <c r="AF434" s="535"/>
      <c r="AG434" s="529"/>
      <c r="AH434" s="529"/>
      <c r="AI434" s="529"/>
      <c r="AJ434" s="529"/>
      <c r="AK434" s="529"/>
      <c r="AL434" s="529"/>
      <c r="AM434" s="529"/>
      <c r="AN434" s="529"/>
      <c r="AO434" s="529"/>
      <c r="AP434" s="529"/>
      <c r="AQ434" s="529"/>
      <c r="AR434" s="529"/>
      <c r="AS434" s="529"/>
      <c r="AT434" s="529"/>
      <c r="AU434" s="529"/>
      <c r="AV434" s="529"/>
      <c r="AW434" s="529"/>
      <c r="AX434" s="530"/>
    </row>
    <row r="435" spans="1:50" x14ac:dyDescent="0.25">
      <c r="A435" s="533"/>
      <c r="B435" s="534"/>
      <c r="C435" s="534"/>
      <c r="D435" s="534"/>
      <c r="E435" s="534"/>
      <c r="F435" s="534"/>
      <c r="G435" s="534"/>
      <c r="H435" s="535" t="str">
        <f>IF(A434="","",LOOKUP(A434,BoonRef!$A$2:$A$430,BoonRef!$Q$2:$Q$430))</f>
        <v/>
      </c>
      <c r="I435" s="535"/>
      <c r="J435" s="529"/>
      <c r="K435" s="529"/>
      <c r="L435" s="529"/>
      <c r="M435" s="529"/>
      <c r="N435" s="529"/>
      <c r="O435" s="529"/>
      <c r="P435" s="529"/>
      <c r="Q435" s="529"/>
      <c r="R435" s="529"/>
      <c r="S435" s="529"/>
      <c r="T435" s="529"/>
      <c r="U435" s="529"/>
      <c r="V435" s="529"/>
      <c r="W435" s="529"/>
      <c r="X435" s="529"/>
      <c r="Y435" s="530"/>
      <c r="Z435" s="533"/>
      <c r="AA435" s="534"/>
      <c r="AB435" s="534"/>
      <c r="AC435" s="534"/>
      <c r="AD435" s="534"/>
      <c r="AE435" s="535"/>
      <c r="AF435" s="535"/>
      <c r="AG435" s="529"/>
      <c r="AH435" s="529"/>
      <c r="AI435" s="529"/>
      <c r="AJ435" s="529"/>
      <c r="AK435" s="529"/>
      <c r="AL435" s="529"/>
      <c r="AM435" s="529"/>
      <c r="AN435" s="529"/>
      <c r="AO435" s="529"/>
      <c r="AP435" s="529"/>
      <c r="AQ435" s="529"/>
      <c r="AR435" s="529"/>
      <c r="AS435" s="529"/>
      <c r="AT435" s="529"/>
      <c r="AU435" s="529"/>
      <c r="AV435" s="529"/>
      <c r="AW435" s="529"/>
      <c r="AX435" s="530"/>
    </row>
    <row r="436" spans="1:50" x14ac:dyDescent="0.25">
      <c r="A436" s="536" t="str">
        <f>IF(A434="","",LOOKUP(A434,BoonRef!$A$2:$A$430,BoonRef!$O$2:$O$430))</f>
        <v/>
      </c>
      <c r="B436" s="535"/>
      <c r="C436" s="535"/>
      <c r="D436" s="535"/>
      <c r="E436" s="535"/>
      <c r="F436" s="535"/>
      <c r="G436" s="535"/>
      <c r="H436" s="535"/>
      <c r="I436" s="535"/>
      <c r="J436" s="529"/>
      <c r="K436" s="529"/>
      <c r="L436" s="529"/>
      <c r="M436" s="529"/>
      <c r="N436" s="529"/>
      <c r="O436" s="529"/>
      <c r="P436" s="529"/>
      <c r="Q436" s="529"/>
      <c r="R436" s="529"/>
      <c r="S436" s="529"/>
      <c r="T436" s="529"/>
      <c r="U436" s="529"/>
      <c r="V436" s="529"/>
      <c r="W436" s="529"/>
      <c r="X436" s="529"/>
      <c r="Y436" s="530"/>
      <c r="Z436" s="536" t="str">
        <f>IF(Z434="","",LOOKUP(Z434,KanckRef!$A$2:$A$170,KanckRef!$D$2:$D$170))</f>
        <v/>
      </c>
      <c r="AA436" s="535"/>
      <c r="AB436" s="535"/>
      <c r="AC436" s="535"/>
      <c r="AD436" s="535"/>
      <c r="AE436" s="535"/>
      <c r="AF436" s="535"/>
      <c r="AG436" s="529"/>
      <c r="AH436" s="529"/>
      <c r="AI436" s="529"/>
      <c r="AJ436" s="529"/>
      <c r="AK436" s="529"/>
      <c r="AL436" s="529"/>
      <c r="AM436" s="529"/>
      <c r="AN436" s="529"/>
      <c r="AO436" s="529"/>
      <c r="AP436" s="529"/>
      <c r="AQ436" s="529"/>
      <c r="AR436" s="529"/>
      <c r="AS436" s="529"/>
      <c r="AT436" s="529"/>
      <c r="AU436" s="529"/>
      <c r="AV436" s="529"/>
      <c r="AW436" s="529"/>
      <c r="AX436" s="530"/>
    </row>
    <row r="437" spans="1:50" x14ac:dyDescent="0.25">
      <c r="A437" s="536" t="str">
        <f>IF(A434="","",LOOKUP(A434,BoonRef!$A$2:$A$430,BoonRef!$N$2:$N$430))</f>
        <v/>
      </c>
      <c r="B437" s="535"/>
      <c r="C437" s="535"/>
      <c r="D437" s="535"/>
      <c r="E437" s="535"/>
      <c r="F437" s="535"/>
      <c r="G437" s="535"/>
      <c r="H437" s="535"/>
      <c r="I437" s="535"/>
      <c r="J437" s="529"/>
      <c r="K437" s="529"/>
      <c r="L437" s="529"/>
      <c r="M437" s="529"/>
      <c r="N437" s="529"/>
      <c r="O437" s="529"/>
      <c r="P437" s="529"/>
      <c r="Q437" s="529"/>
      <c r="R437" s="529"/>
      <c r="S437" s="529"/>
      <c r="T437" s="529"/>
      <c r="U437" s="529"/>
      <c r="V437" s="529"/>
      <c r="W437" s="529"/>
      <c r="X437" s="529"/>
      <c r="Y437" s="530"/>
      <c r="Z437" s="536"/>
      <c r="AA437" s="535"/>
      <c r="AB437" s="535"/>
      <c r="AC437" s="535"/>
      <c r="AD437" s="535"/>
      <c r="AE437" s="535"/>
      <c r="AF437" s="535"/>
      <c r="AG437" s="529"/>
      <c r="AH437" s="529"/>
      <c r="AI437" s="529"/>
      <c r="AJ437" s="529"/>
      <c r="AK437" s="529"/>
      <c r="AL437" s="529"/>
      <c r="AM437" s="529"/>
      <c r="AN437" s="529"/>
      <c r="AO437" s="529"/>
      <c r="AP437" s="529"/>
      <c r="AQ437" s="529"/>
      <c r="AR437" s="529"/>
      <c r="AS437" s="529"/>
      <c r="AT437" s="529"/>
      <c r="AU437" s="529"/>
      <c r="AV437" s="529"/>
      <c r="AW437" s="529"/>
      <c r="AX437" s="530"/>
    </row>
    <row r="438" spans="1:50" ht="15.75" thickBot="1" x14ac:dyDescent="0.3">
      <c r="A438" s="537"/>
      <c r="B438" s="538"/>
      <c r="C438" s="538"/>
      <c r="D438" s="538"/>
      <c r="E438" s="538"/>
      <c r="F438" s="538"/>
      <c r="G438" s="538"/>
      <c r="H438" s="538"/>
      <c r="I438" s="538"/>
      <c r="J438" s="531"/>
      <c r="K438" s="531"/>
      <c r="L438" s="531"/>
      <c r="M438" s="531"/>
      <c r="N438" s="531"/>
      <c r="O438" s="531"/>
      <c r="P438" s="531"/>
      <c r="Q438" s="531"/>
      <c r="R438" s="531"/>
      <c r="S438" s="531"/>
      <c r="T438" s="531"/>
      <c r="U438" s="531"/>
      <c r="V438" s="531"/>
      <c r="W438" s="531"/>
      <c r="X438" s="531"/>
      <c r="Y438" s="532"/>
      <c r="Z438" s="537"/>
      <c r="AA438" s="538"/>
      <c r="AB438" s="538"/>
      <c r="AC438" s="538"/>
      <c r="AD438" s="538"/>
      <c r="AE438" s="538"/>
      <c r="AF438" s="538"/>
      <c r="AG438" s="531"/>
      <c r="AH438" s="531"/>
      <c r="AI438" s="531"/>
      <c r="AJ438" s="531"/>
      <c r="AK438" s="531"/>
      <c r="AL438" s="531"/>
      <c r="AM438" s="531"/>
      <c r="AN438" s="531"/>
      <c r="AO438" s="531"/>
      <c r="AP438" s="531"/>
      <c r="AQ438" s="531"/>
      <c r="AR438" s="531"/>
      <c r="AS438" s="531"/>
      <c r="AT438" s="531"/>
      <c r="AU438" s="531"/>
      <c r="AV438" s="531"/>
      <c r="AW438" s="531"/>
      <c r="AX438" s="532"/>
    </row>
    <row r="439" spans="1:50" x14ac:dyDescent="0.25">
      <c r="A439" s="524"/>
      <c r="B439" s="525"/>
      <c r="C439" s="525"/>
      <c r="D439" s="525"/>
      <c r="E439" s="525"/>
      <c r="F439" s="525"/>
      <c r="G439" s="525"/>
      <c r="H439" s="526" t="str">
        <f>IF(A440="","",LOOKUP(A440,BoonRef!$A$2:$A$430,BoonRef!$C$2:$C$430))</f>
        <v/>
      </c>
      <c r="I439" s="526"/>
      <c r="J439" s="527"/>
      <c r="K439" s="527"/>
      <c r="L439" s="527"/>
      <c r="M439" s="527"/>
      <c r="N439" s="527"/>
      <c r="O439" s="527"/>
      <c r="P439" s="527"/>
      <c r="Q439" s="527"/>
      <c r="R439" s="527"/>
      <c r="S439" s="527"/>
      <c r="T439" s="527"/>
      <c r="U439" s="527"/>
      <c r="V439" s="527"/>
      <c r="W439" s="527"/>
      <c r="X439" s="527"/>
      <c r="Y439" s="528"/>
      <c r="Z439" s="524"/>
      <c r="AA439" s="525"/>
      <c r="AB439" s="525"/>
      <c r="AC439" s="525"/>
      <c r="AD439" s="525"/>
      <c r="AE439" s="526" t="str">
        <f>IF(Z440="","",LOOKUP(Z440,KanckRef!$A$2:$A$170,KanckRef!$E$2:$E$170))</f>
        <v/>
      </c>
      <c r="AF439" s="526"/>
      <c r="AG439" s="527"/>
      <c r="AH439" s="527"/>
      <c r="AI439" s="527"/>
      <c r="AJ439" s="527"/>
      <c r="AK439" s="527"/>
      <c r="AL439" s="527"/>
      <c r="AM439" s="527"/>
      <c r="AN439" s="527"/>
      <c r="AO439" s="527"/>
      <c r="AP439" s="527"/>
      <c r="AQ439" s="527"/>
      <c r="AR439" s="527"/>
      <c r="AS439" s="527"/>
      <c r="AT439" s="527"/>
      <c r="AU439" s="527"/>
      <c r="AV439" s="527"/>
      <c r="AW439" s="527"/>
      <c r="AX439" s="528"/>
    </row>
    <row r="440" spans="1:50" x14ac:dyDescent="0.25">
      <c r="A440" s="533"/>
      <c r="B440" s="534"/>
      <c r="C440" s="534"/>
      <c r="D440" s="534"/>
      <c r="E440" s="534"/>
      <c r="F440" s="534"/>
      <c r="G440" s="534"/>
      <c r="H440" s="535" t="str">
        <f>IF(A440="","",LOOKUP(A440,BoonRef!$A$2:$A$430,BoonRef!$P$2:$P$430))</f>
        <v/>
      </c>
      <c r="I440" s="535"/>
      <c r="J440" s="529"/>
      <c r="K440" s="529"/>
      <c r="L440" s="529"/>
      <c r="M440" s="529"/>
      <c r="N440" s="529"/>
      <c r="O440" s="529"/>
      <c r="P440" s="529"/>
      <c r="Q440" s="529"/>
      <c r="R440" s="529"/>
      <c r="S440" s="529"/>
      <c r="T440" s="529"/>
      <c r="U440" s="529"/>
      <c r="V440" s="529"/>
      <c r="W440" s="529"/>
      <c r="X440" s="529"/>
      <c r="Y440" s="530"/>
      <c r="Z440" s="533"/>
      <c r="AA440" s="534"/>
      <c r="AB440" s="534"/>
      <c r="AC440" s="534"/>
      <c r="AD440" s="534"/>
      <c r="AE440" s="535" t="str">
        <f>IF(Z440="","",LOOKUP(Z440,KanckRef!$A$2:$A$170,KanckRef!$F$2:$F$170))</f>
        <v/>
      </c>
      <c r="AF440" s="535"/>
      <c r="AG440" s="529"/>
      <c r="AH440" s="529"/>
      <c r="AI440" s="529"/>
      <c r="AJ440" s="529"/>
      <c r="AK440" s="529"/>
      <c r="AL440" s="529"/>
      <c r="AM440" s="529"/>
      <c r="AN440" s="529"/>
      <c r="AO440" s="529"/>
      <c r="AP440" s="529"/>
      <c r="AQ440" s="529"/>
      <c r="AR440" s="529"/>
      <c r="AS440" s="529"/>
      <c r="AT440" s="529"/>
      <c r="AU440" s="529"/>
      <c r="AV440" s="529"/>
      <c r="AW440" s="529"/>
      <c r="AX440" s="530"/>
    </row>
    <row r="441" spans="1:50" x14ac:dyDescent="0.25">
      <c r="A441" s="533"/>
      <c r="B441" s="534"/>
      <c r="C441" s="534"/>
      <c r="D441" s="534"/>
      <c r="E441" s="534"/>
      <c r="F441" s="534"/>
      <c r="G441" s="534"/>
      <c r="H441" s="535" t="str">
        <f>IF(A440="","",LOOKUP(A440,BoonRef!$A$2:$A$430,BoonRef!$Q$2:$Q$430))</f>
        <v/>
      </c>
      <c r="I441" s="535"/>
      <c r="J441" s="529"/>
      <c r="K441" s="529"/>
      <c r="L441" s="529"/>
      <c r="M441" s="529"/>
      <c r="N441" s="529"/>
      <c r="O441" s="529"/>
      <c r="P441" s="529"/>
      <c r="Q441" s="529"/>
      <c r="R441" s="529"/>
      <c r="S441" s="529"/>
      <c r="T441" s="529"/>
      <c r="U441" s="529"/>
      <c r="V441" s="529"/>
      <c r="W441" s="529"/>
      <c r="X441" s="529"/>
      <c r="Y441" s="530"/>
      <c r="Z441" s="533"/>
      <c r="AA441" s="534"/>
      <c r="AB441" s="534"/>
      <c r="AC441" s="534"/>
      <c r="AD441" s="534"/>
      <c r="AE441" s="535"/>
      <c r="AF441" s="535"/>
      <c r="AG441" s="529"/>
      <c r="AH441" s="529"/>
      <c r="AI441" s="529"/>
      <c r="AJ441" s="529"/>
      <c r="AK441" s="529"/>
      <c r="AL441" s="529"/>
      <c r="AM441" s="529"/>
      <c r="AN441" s="529"/>
      <c r="AO441" s="529"/>
      <c r="AP441" s="529"/>
      <c r="AQ441" s="529"/>
      <c r="AR441" s="529"/>
      <c r="AS441" s="529"/>
      <c r="AT441" s="529"/>
      <c r="AU441" s="529"/>
      <c r="AV441" s="529"/>
      <c r="AW441" s="529"/>
      <c r="AX441" s="530"/>
    </row>
    <row r="442" spans="1:50" x14ac:dyDescent="0.25">
      <c r="A442" s="536" t="str">
        <f>IF(A440="","",LOOKUP(A440,BoonRef!$A$2:$A$430,BoonRef!$O$2:$O$430))</f>
        <v/>
      </c>
      <c r="B442" s="535"/>
      <c r="C442" s="535"/>
      <c r="D442" s="535"/>
      <c r="E442" s="535"/>
      <c r="F442" s="535"/>
      <c r="G442" s="535"/>
      <c r="H442" s="535"/>
      <c r="I442" s="535"/>
      <c r="J442" s="529"/>
      <c r="K442" s="529"/>
      <c r="L442" s="529"/>
      <c r="M442" s="529"/>
      <c r="N442" s="529"/>
      <c r="O442" s="529"/>
      <c r="P442" s="529"/>
      <c r="Q442" s="529"/>
      <c r="R442" s="529"/>
      <c r="S442" s="529"/>
      <c r="T442" s="529"/>
      <c r="U442" s="529"/>
      <c r="V442" s="529"/>
      <c r="W442" s="529"/>
      <c r="X442" s="529"/>
      <c r="Y442" s="530"/>
      <c r="Z442" s="536" t="str">
        <f>IF(Z440="","",LOOKUP(Z440,KanckRef!$A$2:$A$170,KanckRef!$D$2:$D$170))</f>
        <v/>
      </c>
      <c r="AA442" s="535"/>
      <c r="AB442" s="535"/>
      <c r="AC442" s="535"/>
      <c r="AD442" s="535"/>
      <c r="AE442" s="535"/>
      <c r="AF442" s="535"/>
      <c r="AG442" s="529"/>
      <c r="AH442" s="529"/>
      <c r="AI442" s="529"/>
      <c r="AJ442" s="529"/>
      <c r="AK442" s="529"/>
      <c r="AL442" s="529"/>
      <c r="AM442" s="529"/>
      <c r="AN442" s="529"/>
      <c r="AO442" s="529"/>
      <c r="AP442" s="529"/>
      <c r="AQ442" s="529"/>
      <c r="AR442" s="529"/>
      <c r="AS442" s="529"/>
      <c r="AT442" s="529"/>
      <c r="AU442" s="529"/>
      <c r="AV442" s="529"/>
      <c r="AW442" s="529"/>
      <c r="AX442" s="530"/>
    </row>
    <row r="443" spans="1:50" x14ac:dyDescent="0.25">
      <c r="A443" s="536" t="str">
        <f>IF(A440="","",LOOKUP(A440,BoonRef!$A$2:$A$430,BoonRef!$N$2:$N$430))</f>
        <v/>
      </c>
      <c r="B443" s="535"/>
      <c r="C443" s="535"/>
      <c r="D443" s="535"/>
      <c r="E443" s="535"/>
      <c r="F443" s="535"/>
      <c r="G443" s="535"/>
      <c r="H443" s="535"/>
      <c r="I443" s="535"/>
      <c r="J443" s="529"/>
      <c r="K443" s="529"/>
      <c r="L443" s="529"/>
      <c r="M443" s="529"/>
      <c r="N443" s="529"/>
      <c r="O443" s="529"/>
      <c r="P443" s="529"/>
      <c r="Q443" s="529"/>
      <c r="R443" s="529"/>
      <c r="S443" s="529"/>
      <c r="T443" s="529"/>
      <c r="U443" s="529"/>
      <c r="V443" s="529"/>
      <c r="W443" s="529"/>
      <c r="X443" s="529"/>
      <c r="Y443" s="530"/>
      <c r="Z443" s="536"/>
      <c r="AA443" s="535"/>
      <c r="AB443" s="535"/>
      <c r="AC443" s="535"/>
      <c r="AD443" s="535"/>
      <c r="AE443" s="535"/>
      <c r="AF443" s="535"/>
      <c r="AG443" s="529"/>
      <c r="AH443" s="529"/>
      <c r="AI443" s="529"/>
      <c r="AJ443" s="529"/>
      <c r="AK443" s="529"/>
      <c r="AL443" s="529"/>
      <c r="AM443" s="529"/>
      <c r="AN443" s="529"/>
      <c r="AO443" s="529"/>
      <c r="AP443" s="529"/>
      <c r="AQ443" s="529"/>
      <c r="AR443" s="529"/>
      <c r="AS443" s="529"/>
      <c r="AT443" s="529"/>
      <c r="AU443" s="529"/>
      <c r="AV443" s="529"/>
      <c r="AW443" s="529"/>
      <c r="AX443" s="530"/>
    </row>
    <row r="444" spans="1:50" ht="15.75" thickBot="1" x14ac:dyDescent="0.3">
      <c r="A444" s="537"/>
      <c r="B444" s="538"/>
      <c r="C444" s="538"/>
      <c r="D444" s="538"/>
      <c r="E444" s="538"/>
      <c r="F444" s="538"/>
      <c r="G444" s="538"/>
      <c r="H444" s="538"/>
      <c r="I444" s="538"/>
      <c r="J444" s="531"/>
      <c r="K444" s="531"/>
      <c r="L444" s="531"/>
      <c r="M444" s="531"/>
      <c r="N444" s="531"/>
      <c r="O444" s="531"/>
      <c r="P444" s="531"/>
      <c r="Q444" s="531"/>
      <c r="R444" s="531"/>
      <c r="S444" s="531"/>
      <c r="T444" s="531"/>
      <c r="U444" s="531"/>
      <c r="V444" s="531"/>
      <c r="W444" s="531"/>
      <c r="X444" s="531"/>
      <c r="Y444" s="532"/>
      <c r="Z444" s="537"/>
      <c r="AA444" s="538"/>
      <c r="AB444" s="538"/>
      <c r="AC444" s="538"/>
      <c r="AD444" s="538"/>
      <c r="AE444" s="538"/>
      <c r="AF444" s="538"/>
      <c r="AG444" s="531"/>
      <c r="AH444" s="531"/>
      <c r="AI444" s="531"/>
      <c r="AJ444" s="531"/>
      <c r="AK444" s="531"/>
      <c r="AL444" s="531"/>
      <c r="AM444" s="531"/>
      <c r="AN444" s="531"/>
      <c r="AO444" s="531"/>
      <c r="AP444" s="531"/>
      <c r="AQ444" s="531"/>
      <c r="AR444" s="531"/>
      <c r="AS444" s="531"/>
      <c r="AT444" s="531"/>
      <c r="AU444" s="531"/>
      <c r="AV444" s="531"/>
      <c r="AW444" s="531"/>
      <c r="AX444" s="532"/>
    </row>
    <row r="445" spans="1:50" x14ac:dyDescent="0.25">
      <c r="A445" s="524"/>
      <c r="B445" s="525"/>
      <c r="C445" s="525"/>
      <c r="D445" s="525"/>
      <c r="E445" s="525"/>
      <c r="F445" s="525"/>
      <c r="G445" s="525"/>
      <c r="H445" s="526" t="str">
        <f>IF(A446="","",LOOKUP(A446,BoonRef!$A$2:$A$430,BoonRef!$C$2:$C$430))</f>
        <v/>
      </c>
      <c r="I445" s="526"/>
      <c r="J445" s="527"/>
      <c r="K445" s="527"/>
      <c r="L445" s="527"/>
      <c r="M445" s="527"/>
      <c r="N445" s="527"/>
      <c r="O445" s="527"/>
      <c r="P445" s="527"/>
      <c r="Q445" s="527"/>
      <c r="R445" s="527"/>
      <c r="S445" s="527"/>
      <c r="T445" s="527"/>
      <c r="U445" s="527"/>
      <c r="V445" s="527"/>
      <c r="W445" s="527"/>
      <c r="X445" s="527"/>
      <c r="Y445" s="528"/>
      <c r="Z445" s="524"/>
      <c r="AA445" s="525"/>
      <c r="AB445" s="525"/>
      <c r="AC445" s="525"/>
      <c r="AD445" s="525"/>
      <c r="AE445" s="526" t="str">
        <f>IF(Z446="","",LOOKUP(Z446,KanckRef!$A$2:$A$170,KanckRef!$E$2:$E$170))</f>
        <v/>
      </c>
      <c r="AF445" s="526"/>
      <c r="AG445" s="527"/>
      <c r="AH445" s="527"/>
      <c r="AI445" s="527"/>
      <c r="AJ445" s="527"/>
      <c r="AK445" s="527"/>
      <c r="AL445" s="527"/>
      <c r="AM445" s="527"/>
      <c r="AN445" s="527"/>
      <c r="AO445" s="527"/>
      <c r="AP445" s="527"/>
      <c r="AQ445" s="527"/>
      <c r="AR445" s="527"/>
      <c r="AS445" s="527"/>
      <c r="AT445" s="527"/>
      <c r="AU445" s="527"/>
      <c r="AV445" s="527"/>
      <c r="AW445" s="527"/>
      <c r="AX445" s="528"/>
    </row>
    <row r="446" spans="1:50" x14ac:dyDescent="0.25">
      <c r="A446" s="533"/>
      <c r="B446" s="534"/>
      <c r="C446" s="534"/>
      <c r="D446" s="534"/>
      <c r="E446" s="534"/>
      <c r="F446" s="534"/>
      <c r="G446" s="534"/>
      <c r="H446" s="535" t="str">
        <f>IF(A446="","",LOOKUP(A446,BoonRef!$A$2:$A$430,BoonRef!$P$2:$P$430))</f>
        <v/>
      </c>
      <c r="I446" s="535"/>
      <c r="J446" s="529"/>
      <c r="K446" s="529"/>
      <c r="L446" s="529"/>
      <c r="M446" s="529"/>
      <c r="N446" s="529"/>
      <c r="O446" s="529"/>
      <c r="P446" s="529"/>
      <c r="Q446" s="529"/>
      <c r="R446" s="529"/>
      <c r="S446" s="529"/>
      <c r="T446" s="529"/>
      <c r="U446" s="529"/>
      <c r="V446" s="529"/>
      <c r="W446" s="529"/>
      <c r="X446" s="529"/>
      <c r="Y446" s="530"/>
      <c r="Z446" s="533"/>
      <c r="AA446" s="534"/>
      <c r="AB446" s="534"/>
      <c r="AC446" s="534"/>
      <c r="AD446" s="534"/>
      <c r="AE446" s="535" t="str">
        <f>IF(Z446="","",LOOKUP(Z446,KanckRef!$A$2:$A$170,KanckRef!$F$2:$F$170))</f>
        <v/>
      </c>
      <c r="AF446" s="535"/>
      <c r="AG446" s="529"/>
      <c r="AH446" s="529"/>
      <c r="AI446" s="529"/>
      <c r="AJ446" s="529"/>
      <c r="AK446" s="529"/>
      <c r="AL446" s="529"/>
      <c r="AM446" s="529"/>
      <c r="AN446" s="529"/>
      <c r="AO446" s="529"/>
      <c r="AP446" s="529"/>
      <c r="AQ446" s="529"/>
      <c r="AR446" s="529"/>
      <c r="AS446" s="529"/>
      <c r="AT446" s="529"/>
      <c r="AU446" s="529"/>
      <c r="AV446" s="529"/>
      <c r="AW446" s="529"/>
      <c r="AX446" s="530"/>
    </row>
    <row r="447" spans="1:50" x14ac:dyDescent="0.25">
      <c r="A447" s="533"/>
      <c r="B447" s="534"/>
      <c r="C447" s="534"/>
      <c r="D447" s="534"/>
      <c r="E447" s="534"/>
      <c r="F447" s="534"/>
      <c r="G447" s="534"/>
      <c r="H447" s="535" t="str">
        <f>IF(A446="","",LOOKUP(A446,BoonRef!$A$2:$A$430,BoonRef!$Q$2:$Q$430))</f>
        <v/>
      </c>
      <c r="I447" s="535"/>
      <c r="J447" s="529"/>
      <c r="K447" s="529"/>
      <c r="L447" s="529"/>
      <c r="M447" s="529"/>
      <c r="N447" s="529"/>
      <c r="O447" s="529"/>
      <c r="P447" s="529"/>
      <c r="Q447" s="529"/>
      <c r="R447" s="529"/>
      <c r="S447" s="529"/>
      <c r="T447" s="529"/>
      <c r="U447" s="529"/>
      <c r="V447" s="529"/>
      <c r="W447" s="529"/>
      <c r="X447" s="529"/>
      <c r="Y447" s="530"/>
      <c r="Z447" s="533"/>
      <c r="AA447" s="534"/>
      <c r="AB447" s="534"/>
      <c r="AC447" s="534"/>
      <c r="AD447" s="534"/>
      <c r="AE447" s="535"/>
      <c r="AF447" s="535"/>
      <c r="AG447" s="529"/>
      <c r="AH447" s="529"/>
      <c r="AI447" s="529"/>
      <c r="AJ447" s="529"/>
      <c r="AK447" s="529"/>
      <c r="AL447" s="529"/>
      <c r="AM447" s="529"/>
      <c r="AN447" s="529"/>
      <c r="AO447" s="529"/>
      <c r="AP447" s="529"/>
      <c r="AQ447" s="529"/>
      <c r="AR447" s="529"/>
      <c r="AS447" s="529"/>
      <c r="AT447" s="529"/>
      <c r="AU447" s="529"/>
      <c r="AV447" s="529"/>
      <c r="AW447" s="529"/>
      <c r="AX447" s="530"/>
    </row>
    <row r="448" spans="1:50" x14ac:dyDescent="0.25">
      <c r="A448" s="536" t="str">
        <f>IF(A446="","",LOOKUP(A446,BoonRef!$A$2:$A$430,BoonRef!$O$2:$O$430))</f>
        <v/>
      </c>
      <c r="B448" s="535"/>
      <c r="C448" s="535"/>
      <c r="D448" s="535"/>
      <c r="E448" s="535"/>
      <c r="F448" s="535"/>
      <c r="G448" s="535"/>
      <c r="H448" s="535"/>
      <c r="I448" s="535"/>
      <c r="J448" s="529"/>
      <c r="K448" s="529"/>
      <c r="L448" s="529"/>
      <c r="M448" s="529"/>
      <c r="N448" s="529"/>
      <c r="O448" s="529"/>
      <c r="P448" s="529"/>
      <c r="Q448" s="529"/>
      <c r="R448" s="529"/>
      <c r="S448" s="529"/>
      <c r="T448" s="529"/>
      <c r="U448" s="529"/>
      <c r="V448" s="529"/>
      <c r="W448" s="529"/>
      <c r="X448" s="529"/>
      <c r="Y448" s="530"/>
      <c r="Z448" s="536" t="str">
        <f>IF(Z446="","",LOOKUP(Z446,KanckRef!$A$2:$A$170,KanckRef!$D$2:$D$170))</f>
        <v/>
      </c>
      <c r="AA448" s="535"/>
      <c r="AB448" s="535"/>
      <c r="AC448" s="535"/>
      <c r="AD448" s="535"/>
      <c r="AE448" s="535"/>
      <c r="AF448" s="535"/>
      <c r="AG448" s="529"/>
      <c r="AH448" s="529"/>
      <c r="AI448" s="529"/>
      <c r="AJ448" s="529"/>
      <c r="AK448" s="529"/>
      <c r="AL448" s="529"/>
      <c r="AM448" s="529"/>
      <c r="AN448" s="529"/>
      <c r="AO448" s="529"/>
      <c r="AP448" s="529"/>
      <c r="AQ448" s="529"/>
      <c r="AR448" s="529"/>
      <c r="AS448" s="529"/>
      <c r="AT448" s="529"/>
      <c r="AU448" s="529"/>
      <c r="AV448" s="529"/>
      <c r="AW448" s="529"/>
      <c r="AX448" s="530"/>
    </row>
    <row r="449" spans="1:50" x14ac:dyDescent="0.25">
      <c r="A449" s="536" t="str">
        <f>IF(A446="","",LOOKUP(A446,BoonRef!$A$2:$A$430,BoonRef!$N$2:$N$430))</f>
        <v/>
      </c>
      <c r="B449" s="535"/>
      <c r="C449" s="535"/>
      <c r="D449" s="535"/>
      <c r="E449" s="535"/>
      <c r="F449" s="535"/>
      <c r="G449" s="535"/>
      <c r="H449" s="535"/>
      <c r="I449" s="535"/>
      <c r="J449" s="529"/>
      <c r="K449" s="529"/>
      <c r="L449" s="529"/>
      <c r="M449" s="529"/>
      <c r="N449" s="529"/>
      <c r="O449" s="529"/>
      <c r="P449" s="529"/>
      <c r="Q449" s="529"/>
      <c r="R449" s="529"/>
      <c r="S449" s="529"/>
      <c r="T449" s="529"/>
      <c r="U449" s="529"/>
      <c r="V449" s="529"/>
      <c r="W449" s="529"/>
      <c r="X449" s="529"/>
      <c r="Y449" s="530"/>
      <c r="Z449" s="536"/>
      <c r="AA449" s="535"/>
      <c r="AB449" s="535"/>
      <c r="AC449" s="535"/>
      <c r="AD449" s="535"/>
      <c r="AE449" s="535"/>
      <c r="AF449" s="535"/>
      <c r="AG449" s="529"/>
      <c r="AH449" s="529"/>
      <c r="AI449" s="529"/>
      <c r="AJ449" s="529"/>
      <c r="AK449" s="529"/>
      <c r="AL449" s="529"/>
      <c r="AM449" s="529"/>
      <c r="AN449" s="529"/>
      <c r="AO449" s="529"/>
      <c r="AP449" s="529"/>
      <c r="AQ449" s="529"/>
      <c r="AR449" s="529"/>
      <c r="AS449" s="529"/>
      <c r="AT449" s="529"/>
      <c r="AU449" s="529"/>
      <c r="AV449" s="529"/>
      <c r="AW449" s="529"/>
      <c r="AX449" s="530"/>
    </row>
    <row r="450" spans="1:50" ht="15.75" thickBot="1" x14ac:dyDescent="0.3">
      <c r="A450" s="537"/>
      <c r="B450" s="538"/>
      <c r="C450" s="538"/>
      <c r="D450" s="538"/>
      <c r="E450" s="538"/>
      <c r="F450" s="538"/>
      <c r="G450" s="538"/>
      <c r="H450" s="538"/>
      <c r="I450" s="538"/>
      <c r="J450" s="531"/>
      <c r="K450" s="531"/>
      <c r="L450" s="531"/>
      <c r="M450" s="531"/>
      <c r="N450" s="531"/>
      <c r="O450" s="531"/>
      <c r="P450" s="531"/>
      <c r="Q450" s="531"/>
      <c r="R450" s="531"/>
      <c r="S450" s="531"/>
      <c r="T450" s="531"/>
      <c r="U450" s="531"/>
      <c r="V450" s="531"/>
      <c r="W450" s="531"/>
      <c r="X450" s="531"/>
      <c r="Y450" s="532"/>
      <c r="Z450" s="537"/>
      <c r="AA450" s="538"/>
      <c r="AB450" s="538"/>
      <c r="AC450" s="538"/>
      <c r="AD450" s="538"/>
      <c r="AE450" s="538"/>
      <c r="AF450" s="538"/>
      <c r="AG450" s="531"/>
      <c r="AH450" s="531"/>
      <c r="AI450" s="531"/>
      <c r="AJ450" s="531"/>
      <c r="AK450" s="531"/>
      <c r="AL450" s="531"/>
      <c r="AM450" s="531"/>
      <c r="AN450" s="531"/>
      <c r="AO450" s="531"/>
      <c r="AP450" s="531"/>
      <c r="AQ450" s="531"/>
      <c r="AR450" s="531"/>
      <c r="AS450" s="531"/>
      <c r="AT450" s="531"/>
      <c r="AU450" s="531"/>
      <c r="AV450" s="531"/>
      <c r="AW450" s="531"/>
      <c r="AX450" s="532"/>
    </row>
    <row r="451" spans="1:50" x14ac:dyDescent="0.25">
      <c r="A451" s="524"/>
      <c r="B451" s="525"/>
      <c r="C451" s="525"/>
      <c r="D451" s="525"/>
      <c r="E451" s="525"/>
      <c r="F451" s="525"/>
      <c r="G451" s="525"/>
      <c r="H451" s="526" t="str">
        <f>IF(A452="","",LOOKUP(A452,BoonRef!$A$2:$A$430,BoonRef!$C$2:$C$430))</f>
        <v/>
      </c>
      <c r="I451" s="526"/>
      <c r="J451" s="527"/>
      <c r="K451" s="527"/>
      <c r="L451" s="527"/>
      <c r="M451" s="527"/>
      <c r="N451" s="527"/>
      <c r="O451" s="527"/>
      <c r="P451" s="527"/>
      <c r="Q451" s="527"/>
      <c r="R451" s="527"/>
      <c r="S451" s="527"/>
      <c r="T451" s="527"/>
      <c r="U451" s="527"/>
      <c r="V451" s="527"/>
      <c r="W451" s="527"/>
      <c r="X451" s="527"/>
      <c r="Y451" s="528"/>
      <c r="Z451" s="524"/>
      <c r="AA451" s="525"/>
      <c r="AB451" s="525"/>
      <c r="AC451" s="525"/>
      <c r="AD451" s="525"/>
      <c r="AE451" s="526" t="str">
        <f>IF(Z452="","",LOOKUP(Z452,KanckRef!$A$2:$A$170,KanckRef!$E$2:$E$170))</f>
        <v/>
      </c>
      <c r="AF451" s="526"/>
      <c r="AG451" s="527"/>
      <c r="AH451" s="527"/>
      <c r="AI451" s="527"/>
      <c r="AJ451" s="527"/>
      <c r="AK451" s="527"/>
      <c r="AL451" s="527"/>
      <c r="AM451" s="527"/>
      <c r="AN451" s="527"/>
      <c r="AO451" s="527"/>
      <c r="AP451" s="527"/>
      <c r="AQ451" s="527"/>
      <c r="AR451" s="527"/>
      <c r="AS451" s="527"/>
      <c r="AT451" s="527"/>
      <c r="AU451" s="527"/>
      <c r="AV451" s="527"/>
      <c r="AW451" s="527"/>
      <c r="AX451" s="528"/>
    </row>
    <row r="452" spans="1:50" x14ac:dyDescent="0.25">
      <c r="A452" s="533"/>
      <c r="B452" s="534"/>
      <c r="C452" s="534"/>
      <c r="D452" s="534"/>
      <c r="E452" s="534"/>
      <c r="F452" s="534"/>
      <c r="G452" s="534"/>
      <c r="H452" s="535" t="str">
        <f>IF(A452="","",LOOKUP(A452,BoonRef!$A$2:$A$430,BoonRef!$P$2:$P$430))</f>
        <v/>
      </c>
      <c r="I452" s="535"/>
      <c r="J452" s="529"/>
      <c r="K452" s="529"/>
      <c r="L452" s="529"/>
      <c r="M452" s="529"/>
      <c r="N452" s="529"/>
      <c r="O452" s="529"/>
      <c r="P452" s="529"/>
      <c r="Q452" s="529"/>
      <c r="R452" s="529"/>
      <c r="S452" s="529"/>
      <c r="T452" s="529"/>
      <c r="U452" s="529"/>
      <c r="V452" s="529"/>
      <c r="W452" s="529"/>
      <c r="X452" s="529"/>
      <c r="Y452" s="530"/>
      <c r="Z452" s="533"/>
      <c r="AA452" s="534"/>
      <c r="AB452" s="534"/>
      <c r="AC452" s="534"/>
      <c r="AD452" s="534"/>
      <c r="AE452" s="535" t="str">
        <f>IF(Z452="","",LOOKUP(Z452,KanckRef!$A$2:$A$170,KanckRef!$F$2:$F$170))</f>
        <v/>
      </c>
      <c r="AF452" s="535"/>
      <c r="AG452" s="529"/>
      <c r="AH452" s="529"/>
      <c r="AI452" s="529"/>
      <c r="AJ452" s="529"/>
      <c r="AK452" s="529"/>
      <c r="AL452" s="529"/>
      <c r="AM452" s="529"/>
      <c r="AN452" s="529"/>
      <c r="AO452" s="529"/>
      <c r="AP452" s="529"/>
      <c r="AQ452" s="529"/>
      <c r="AR452" s="529"/>
      <c r="AS452" s="529"/>
      <c r="AT452" s="529"/>
      <c r="AU452" s="529"/>
      <c r="AV452" s="529"/>
      <c r="AW452" s="529"/>
      <c r="AX452" s="530"/>
    </row>
    <row r="453" spans="1:50" x14ac:dyDescent="0.25">
      <c r="A453" s="533"/>
      <c r="B453" s="534"/>
      <c r="C453" s="534"/>
      <c r="D453" s="534"/>
      <c r="E453" s="534"/>
      <c r="F453" s="534"/>
      <c r="G453" s="534"/>
      <c r="H453" s="535" t="str">
        <f>IF(A452="","",LOOKUP(A452,BoonRef!$A$2:$A$430,BoonRef!$Q$2:$Q$430))</f>
        <v/>
      </c>
      <c r="I453" s="535"/>
      <c r="J453" s="529"/>
      <c r="K453" s="529"/>
      <c r="L453" s="529"/>
      <c r="M453" s="529"/>
      <c r="N453" s="529"/>
      <c r="O453" s="529"/>
      <c r="P453" s="529"/>
      <c r="Q453" s="529"/>
      <c r="R453" s="529"/>
      <c r="S453" s="529"/>
      <c r="T453" s="529"/>
      <c r="U453" s="529"/>
      <c r="V453" s="529"/>
      <c r="W453" s="529"/>
      <c r="X453" s="529"/>
      <c r="Y453" s="530"/>
      <c r="Z453" s="533"/>
      <c r="AA453" s="534"/>
      <c r="AB453" s="534"/>
      <c r="AC453" s="534"/>
      <c r="AD453" s="534"/>
      <c r="AE453" s="535"/>
      <c r="AF453" s="535"/>
      <c r="AG453" s="529"/>
      <c r="AH453" s="529"/>
      <c r="AI453" s="529"/>
      <c r="AJ453" s="529"/>
      <c r="AK453" s="529"/>
      <c r="AL453" s="529"/>
      <c r="AM453" s="529"/>
      <c r="AN453" s="529"/>
      <c r="AO453" s="529"/>
      <c r="AP453" s="529"/>
      <c r="AQ453" s="529"/>
      <c r="AR453" s="529"/>
      <c r="AS453" s="529"/>
      <c r="AT453" s="529"/>
      <c r="AU453" s="529"/>
      <c r="AV453" s="529"/>
      <c r="AW453" s="529"/>
      <c r="AX453" s="530"/>
    </row>
    <row r="454" spans="1:50" x14ac:dyDescent="0.25">
      <c r="A454" s="536" t="str">
        <f>IF(A452="","",LOOKUP(A452,BoonRef!$A$2:$A$430,BoonRef!$O$2:$O$430))</f>
        <v/>
      </c>
      <c r="B454" s="535"/>
      <c r="C454" s="535"/>
      <c r="D454" s="535"/>
      <c r="E454" s="535"/>
      <c r="F454" s="535"/>
      <c r="G454" s="535"/>
      <c r="H454" s="535"/>
      <c r="I454" s="535"/>
      <c r="J454" s="529"/>
      <c r="K454" s="529"/>
      <c r="L454" s="529"/>
      <c r="M454" s="529"/>
      <c r="N454" s="529"/>
      <c r="O454" s="529"/>
      <c r="P454" s="529"/>
      <c r="Q454" s="529"/>
      <c r="R454" s="529"/>
      <c r="S454" s="529"/>
      <c r="T454" s="529"/>
      <c r="U454" s="529"/>
      <c r="V454" s="529"/>
      <c r="W454" s="529"/>
      <c r="X454" s="529"/>
      <c r="Y454" s="530"/>
      <c r="Z454" s="536" t="str">
        <f>IF(Z452="","",LOOKUP(Z452,KanckRef!$A$2:$A$170,KanckRef!$D$2:$D$170))</f>
        <v/>
      </c>
      <c r="AA454" s="535"/>
      <c r="AB454" s="535"/>
      <c r="AC454" s="535"/>
      <c r="AD454" s="535"/>
      <c r="AE454" s="535"/>
      <c r="AF454" s="535"/>
      <c r="AG454" s="529"/>
      <c r="AH454" s="529"/>
      <c r="AI454" s="529"/>
      <c r="AJ454" s="529"/>
      <c r="AK454" s="529"/>
      <c r="AL454" s="529"/>
      <c r="AM454" s="529"/>
      <c r="AN454" s="529"/>
      <c r="AO454" s="529"/>
      <c r="AP454" s="529"/>
      <c r="AQ454" s="529"/>
      <c r="AR454" s="529"/>
      <c r="AS454" s="529"/>
      <c r="AT454" s="529"/>
      <c r="AU454" s="529"/>
      <c r="AV454" s="529"/>
      <c r="AW454" s="529"/>
      <c r="AX454" s="530"/>
    </row>
    <row r="455" spans="1:50" x14ac:dyDescent="0.25">
      <c r="A455" s="536" t="str">
        <f>IF(A452="","",LOOKUP(A452,BoonRef!$A$2:$A$430,BoonRef!$N$2:$N$430))</f>
        <v/>
      </c>
      <c r="B455" s="535"/>
      <c r="C455" s="535"/>
      <c r="D455" s="535"/>
      <c r="E455" s="535"/>
      <c r="F455" s="535"/>
      <c r="G455" s="535"/>
      <c r="H455" s="535"/>
      <c r="I455" s="535"/>
      <c r="J455" s="529"/>
      <c r="K455" s="529"/>
      <c r="L455" s="529"/>
      <c r="M455" s="529"/>
      <c r="N455" s="529"/>
      <c r="O455" s="529"/>
      <c r="P455" s="529"/>
      <c r="Q455" s="529"/>
      <c r="R455" s="529"/>
      <c r="S455" s="529"/>
      <c r="T455" s="529"/>
      <c r="U455" s="529"/>
      <c r="V455" s="529"/>
      <c r="W455" s="529"/>
      <c r="X455" s="529"/>
      <c r="Y455" s="530"/>
      <c r="Z455" s="536"/>
      <c r="AA455" s="535"/>
      <c r="AB455" s="535"/>
      <c r="AC455" s="535"/>
      <c r="AD455" s="535"/>
      <c r="AE455" s="535"/>
      <c r="AF455" s="535"/>
      <c r="AG455" s="529"/>
      <c r="AH455" s="529"/>
      <c r="AI455" s="529"/>
      <c r="AJ455" s="529"/>
      <c r="AK455" s="529"/>
      <c r="AL455" s="529"/>
      <c r="AM455" s="529"/>
      <c r="AN455" s="529"/>
      <c r="AO455" s="529"/>
      <c r="AP455" s="529"/>
      <c r="AQ455" s="529"/>
      <c r="AR455" s="529"/>
      <c r="AS455" s="529"/>
      <c r="AT455" s="529"/>
      <c r="AU455" s="529"/>
      <c r="AV455" s="529"/>
      <c r="AW455" s="529"/>
      <c r="AX455" s="530"/>
    </row>
    <row r="456" spans="1:50" ht="15.75" thickBot="1" x14ac:dyDescent="0.3">
      <c r="A456" s="537"/>
      <c r="B456" s="538"/>
      <c r="C456" s="538"/>
      <c r="D456" s="538"/>
      <c r="E456" s="538"/>
      <c r="F456" s="538"/>
      <c r="G456" s="538"/>
      <c r="H456" s="538"/>
      <c r="I456" s="538"/>
      <c r="J456" s="531"/>
      <c r="K456" s="531"/>
      <c r="L456" s="531"/>
      <c r="M456" s="531"/>
      <c r="N456" s="531"/>
      <c r="O456" s="531"/>
      <c r="P456" s="531"/>
      <c r="Q456" s="531"/>
      <c r="R456" s="531"/>
      <c r="S456" s="531"/>
      <c r="T456" s="531"/>
      <c r="U456" s="531"/>
      <c r="V456" s="531"/>
      <c r="W456" s="531"/>
      <c r="X456" s="531"/>
      <c r="Y456" s="532"/>
      <c r="Z456" s="537"/>
      <c r="AA456" s="538"/>
      <c r="AB456" s="538"/>
      <c r="AC456" s="538"/>
      <c r="AD456" s="538"/>
      <c r="AE456" s="538"/>
      <c r="AF456" s="538"/>
      <c r="AG456" s="531"/>
      <c r="AH456" s="531"/>
      <c r="AI456" s="531"/>
      <c r="AJ456" s="531"/>
      <c r="AK456" s="531"/>
      <c r="AL456" s="531"/>
      <c r="AM456" s="531"/>
      <c r="AN456" s="531"/>
      <c r="AO456" s="531"/>
      <c r="AP456" s="531"/>
      <c r="AQ456" s="531"/>
      <c r="AR456" s="531"/>
      <c r="AS456" s="531"/>
      <c r="AT456" s="531"/>
      <c r="AU456" s="531"/>
      <c r="AV456" s="531"/>
      <c r="AW456" s="531"/>
      <c r="AX456" s="532"/>
    </row>
    <row r="457" spans="1:50" x14ac:dyDescent="0.25">
      <c r="A457" s="524"/>
      <c r="B457" s="525"/>
      <c r="C457" s="525"/>
      <c r="D457" s="525"/>
      <c r="E457" s="525"/>
      <c r="F457" s="525"/>
      <c r="G457" s="525"/>
      <c r="H457" s="526" t="str">
        <f>IF(A458="","",LOOKUP(A458,BoonRef!$A$2:$A$430,BoonRef!$C$2:$C$430))</f>
        <v/>
      </c>
      <c r="I457" s="526"/>
      <c r="J457" s="527"/>
      <c r="K457" s="527"/>
      <c r="L457" s="527"/>
      <c r="M457" s="527"/>
      <c r="N457" s="527"/>
      <c r="O457" s="527"/>
      <c r="P457" s="527"/>
      <c r="Q457" s="527"/>
      <c r="R457" s="527"/>
      <c r="S457" s="527"/>
      <c r="T457" s="527"/>
      <c r="U457" s="527"/>
      <c r="V457" s="527"/>
      <c r="W457" s="527"/>
      <c r="X457" s="527"/>
      <c r="Y457" s="528"/>
      <c r="Z457" s="524"/>
      <c r="AA457" s="525"/>
      <c r="AB457" s="525"/>
      <c r="AC457" s="525"/>
      <c r="AD457" s="525"/>
      <c r="AE457" s="526" t="str">
        <f>IF(Z458="","",LOOKUP(Z458,KanckRef!$A$2:$A$170,KanckRef!$E$2:$E$170))</f>
        <v/>
      </c>
      <c r="AF457" s="526"/>
      <c r="AG457" s="527"/>
      <c r="AH457" s="527"/>
      <c r="AI457" s="527"/>
      <c r="AJ457" s="527"/>
      <c r="AK457" s="527"/>
      <c r="AL457" s="527"/>
      <c r="AM457" s="527"/>
      <c r="AN457" s="527"/>
      <c r="AO457" s="527"/>
      <c r="AP457" s="527"/>
      <c r="AQ457" s="527"/>
      <c r="AR457" s="527"/>
      <c r="AS457" s="527"/>
      <c r="AT457" s="527"/>
      <c r="AU457" s="527"/>
      <c r="AV457" s="527"/>
      <c r="AW457" s="527"/>
      <c r="AX457" s="528"/>
    </row>
    <row r="458" spans="1:50" x14ac:dyDescent="0.25">
      <c r="A458" s="533"/>
      <c r="B458" s="534"/>
      <c r="C458" s="534"/>
      <c r="D458" s="534"/>
      <c r="E458" s="534"/>
      <c r="F458" s="534"/>
      <c r="G458" s="534"/>
      <c r="H458" s="535" t="str">
        <f>IF(A458="","",LOOKUP(A458,BoonRef!$A$2:$A$430,BoonRef!$P$2:$P$430))</f>
        <v/>
      </c>
      <c r="I458" s="535"/>
      <c r="J458" s="529"/>
      <c r="K458" s="529"/>
      <c r="L458" s="529"/>
      <c r="M458" s="529"/>
      <c r="N458" s="529"/>
      <c r="O458" s="529"/>
      <c r="P458" s="529"/>
      <c r="Q458" s="529"/>
      <c r="R458" s="529"/>
      <c r="S458" s="529"/>
      <c r="T458" s="529"/>
      <c r="U458" s="529"/>
      <c r="V458" s="529"/>
      <c r="W458" s="529"/>
      <c r="X458" s="529"/>
      <c r="Y458" s="530"/>
      <c r="Z458" s="533"/>
      <c r="AA458" s="534"/>
      <c r="AB458" s="534"/>
      <c r="AC458" s="534"/>
      <c r="AD458" s="534"/>
      <c r="AE458" s="535" t="str">
        <f>IF(Z458="","",LOOKUP(Z458,KanckRef!$A$2:$A$170,KanckRef!$F$2:$F$170))</f>
        <v/>
      </c>
      <c r="AF458" s="535"/>
      <c r="AG458" s="529"/>
      <c r="AH458" s="529"/>
      <c r="AI458" s="529"/>
      <c r="AJ458" s="529"/>
      <c r="AK458" s="529"/>
      <c r="AL458" s="529"/>
      <c r="AM458" s="529"/>
      <c r="AN458" s="529"/>
      <c r="AO458" s="529"/>
      <c r="AP458" s="529"/>
      <c r="AQ458" s="529"/>
      <c r="AR458" s="529"/>
      <c r="AS458" s="529"/>
      <c r="AT458" s="529"/>
      <c r="AU458" s="529"/>
      <c r="AV458" s="529"/>
      <c r="AW458" s="529"/>
      <c r="AX458" s="530"/>
    </row>
    <row r="459" spans="1:50" x14ac:dyDescent="0.25">
      <c r="A459" s="533"/>
      <c r="B459" s="534"/>
      <c r="C459" s="534"/>
      <c r="D459" s="534"/>
      <c r="E459" s="534"/>
      <c r="F459" s="534"/>
      <c r="G459" s="534"/>
      <c r="H459" s="535" t="str">
        <f>IF(A458="","",LOOKUP(A458,BoonRef!$A$2:$A$430,BoonRef!$Q$2:$Q$430))</f>
        <v/>
      </c>
      <c r="I459" s="535"/>
      <c r="J459" s="529"/>
      <c r="K459" s="529"/>
      <c r="L459" s="529"/>
      <c r="M459" s="529"/>
      <c r="N459" s="529"/>
      <c r="O459" s="529"/>
      <c r="P459" s="529"/>
      <c r="Q459" s="529"/>
      <c r="R459" s="529"/>
      <c r="S459" s="529"/>
      <c r="T459" s="529"/>
      <c r="U459" s="529"/>
      <c r="V459" s="529"/>
      <c r="W459" s="529"/>
      <c r="X459" s="529"/>
      <c r="Y459" s="530"/>
      <c r="Z459" s="533"/>
      <c r="AA459" s="534"/>
      <c r="AB459" s="534"/>
      <c r="AC459" s="534"/>
      <c r="AD459" s="534"/>
      <c r="AE459" s="535"/>
      <c r="AF459" s="535"/>
      <c r="AG459" s="529"/>
      <c r="AH459" s="529"/>
      <c r="AI459" s="529"/>
      <c r="AJ459" s="529"/>
      <c r="AK459" s="529"/>
      <c r="AL459" s="529"/>
      <c r="AM459" s="529"/>
      <c r="AN459" s="529"/>
      <c r="AO459" s="529"/>
      <c r="AP459" s="529"/>
      <c r="AQ459" s="529"/>
      <c r="AR459" s="529"/>
      <c r="AS459" s="529"/>
      <c r="AT459" s="529"/>
      <c r="AU459" s="529"/>
      <c r="AV459" s="529"/>
      <c r="AW459" s="529"/>
      <c r="AX459" s="530"/>
    </row>
    <row r="460" spans="1:50" x14ac:dyDescent="0.25">
      <c r="A460" s="536" t="str">
        <f>IF(A458="","",LOOKUP(A458,BoonRef!$A$2:$A$430,BoonRef!$O$2:$O$430))</f>
        <v/>
      </c>
      <c r="B460" s="535"/>
      <c r="C460" s="535"/>
      <c r="D460" s="535"/>
      <c r="E460" s="535"/>
      <c r="F460" s="535"/>
      <c r="G460" s="535"/>
      <c r="H460" s="535"/>
      <c r="I460" s="535"/>
      <c r="J460" s="529"/>
      <c r="K460" s="529"/>
      <c r="L460" s="529"/>
      <c r="M460" s="529"/>
      <c r="N460" s="529"/>
      <c r="O460" s="529"/>
      <c r="P460" s="529"/>
      <c r="Q460" s="529"/>
      <c r="R460" s="529"/>
      <c r="S460" s="529"/>
      <c r="T460" s="529"/>
      <c r="U460" s="529"/>
      <c r="V460" s="529"/>
      <c r="W460" s="529"/>
      <c r="X460" s="529"/>
      <c r="Y460" s="530"/>
      <c r="Z460" s="536" t="str">
        <f>IF(Z458="","",LOOKUP(Z458,KanckRef!$A$2:$A$170,KanckRef!$D$2:$D$170))</f>
        <v/>
      </c>
      <c r="AA460" s="535"/>
      <c r="AB460" s="535"/>
      <c r="AC460" s="535"/>
      <c r="AD460" s="535"/>
      <c r="AE460" s="535"/>
      <c r="AF460" s="535"/>
      <c r="AG460" s="529"/>
      <c r="AH460" s="529"/>
      <c r="AI460" s="529"/>
      <c r="AJ460" s="529"/>
      <c r="AK460" s="529"/>
      <c r="AL460" s="529"/>
      <c r="AM460" s="529"/>
      <c r="AN460" s="529"/>
      <c r="AO460" s="529"/>
      <c r="AP460" s="529"/>
      <c r="AQ460" s="529"/>
      <c r="AR460" s="529"/>
      <c r="AS460" s="529"/>
      <c r="AT460" s="529"/>
      <c r="AU460" s="529"/>
      <c r="AV460" s="529"/>
      <c r="AW460" s="529"/>
      <c r="AX460" s="530"/>
    </row>
    <row r="461" spans="1:50" x14ac:dyDescent="0.25">
      <c r="A461" s="536" t="str">
        <f>IF(A458="","",LOOKUP(A458,BoonRef!$A$2:$A$430,BoonRef!$N$2:$N$430))</f>
        <v/>
      </c>
      <c r="B461" s="535"/>
      <c r="C461" s="535"/>
      <c r="D461" s="535"/>
      <c r="E461" s="535"/>
      <c r="F461" s="535"/>
      <c r="G461" s="535"/>
      <c r="H461" s="535"/>
      <c r="I461" s="535"/>
      <c r="J461" s="529"/>
      <c r="K461" s="529"/>
      <c r="L461" s="529"/>
      <c r="M461" s="529"/>
      <c r="N461" s="529"/>
      <c r="O461" s="529"/>
      <c r="P461" s="529"/>
      <c r="Q461" s="529"/>
      <c r="R461" s="529"/>
      <c r="S461" s="529"/>
      <c r="T461" s="529"/>
      <c r="U461" s="529"/>
      <c r="V461" s="529"/>
      <c r="W461" s="529"/>
      <c r="X461" s="529"/>
      <c r="Y461" s="530"/>
      <c r="Z461" s="536"/>
      <c r="AA461" s="535"/>
      <c r="AB461" s="535"/>
      <c r="AC461" s="535"/>
      <c r="AD461" s="535"/>
      <c r="AE461" s="535"/>
      <c r="AF461" s="535"/>
      <c r="AG461" s="529"/>
      <c r="AH461" s="529"/>
      <c r="AI461" s="529"/>
      <c r="AJ461" s="529"/>
      <c r="AK461" s="529"/>
      <c r="AL461" s="529"/>
      <c r="AM461" s="529"/>
      <c r="AN461" s="529"/>
      <c r="AO461" s="529"/>
      <c r="AP461" s="529"/>
      <c r="AQ461" s="529"/>
      <c r="AR461" s="529"/>
      <c r="AS461" s="529"/>
      <c r="AT461" s="529"/>
      <c r="AU461" s="529"/>
      <c r="AV461" s="529"/>
      <c r="AW461" s="529"/>
      <c r="AX461" s="530"/>
    </row>
    <row r="462" spans="1:50" ht="15.75" thickBot="1" x14ac:dyDescent="0.3">
      <c r="A462" s="537"/>
      <c r="B462" s="538"/>
      <c r="C462" s="538"/>
      <c r="D462" s="538"/>
      <c r="E462" s="538"/>
      <c r="F462" s="538"/>
      <c r="G462" s="538"/>
      <c r="H462" s="538"/>
      <c r="I462" s="538"/>
      <c r="J462" s="531"/>
      <c r="K462" s="531"/>
      <c r="L462" s="531"/>
      <c r="M462" s="531"/>
      <c r="N462" s="531"/>
      <c r="O462" s="531"/>
      <c r="P462" s="531"/>
      <c r="Q462" s="531"/>
      <c r="R462" s="531"/>
      <c r="S462" s="531"/>
      <c r="T462" s="531"/>
      <c r="U462" s="531"/>
      <c r="V462" s="531"/>
      <c r="W462" s="531"/>
      <c r="X462" s="531"/>
      <c r="Y462" s="532"/>
      <c r="Z462" s="537"/>
      <c r="AA462" s="538"/>
      <c r="AB462" s="538"/>
      <c r="AC462" s="538"/>
      <c r="AD462" s="538"/>
      <c r="AE462" s="538"/>
      <c r="AF462" s="538"/>
      <c r="AG462" s="531"/>
      <c r="AH462" s="531"/>
      <c r="AI462" s="531"/>
      <c r="AJ462" s="531"/>
      <c r="AK462" s="531"/>
      <c r="AL462" s="531"/>
      <c r="AM462" s="531"/>
      <c r="AN462" s="531"/>
      <c r="AO462" s="531"/>
      <c r="AP462" s="531"/>
      <c r="AQ462" s="531"/>
      <c r="AR462" s="531"/>
      <c r="AS462" s="531"/>
      <c r="AT462" s="531"/>
      <c r="AU462" s="531"/>
      <c r="AV462" s="531"/>
      <c r="AW462" s="531"/>
      <c r="AX462" s="532"/>
    </row>
    <row r="463" spans="1:50" x14ac:dyDescent="0.25">
      <c r="A463" s="524"/>
      <c r="B463" s="525"/>
      <c r="C463" s="525"/>
      <c r="D463" s="525"/>
      <c r="E463" s="525"/>
      <c r="F463" s="525"/>
      <c r="G463" s="525"/>
      <c r="H463" s="526" t="str">
        <f>IF(A464="","",LOOKUP(A464,BoonRef!$A$2:$A$430,BoonRef!$C$2:$C$430))</f>
        <v/>
      </c>
      <c r="I463" s="526"/>
      <c r="J463" s="527"/>
      <c r="K463" s="527"/>
      <c r="L463" s="527"/>
      <c r="M463" s="527"/>
      <c r="N463" s="527"/>
      <c r="O463" s="527"/>
      <c r="P463" s="527"/>
      <c r="Q463" s="527"/>
      <c r="R463" s="527"/>
      <c r="S463" s="527"/>
      <c r="T463" s="527"/>
      <c r="U463" s="527"/>
      <c r="V463" s="527"/>
      <c r="W463" s="527"/>
      <c r="X463" s="527"/>
      <c r="Y463" s="528"/>
      <c r="Z463" s="524"/>
      <c r="AA463" s="525"/>
      <c r="AB463" s="525"/>
      <c r="AC463" s="525"/>
      <c r="AD463" s="525"/>
      <c r="AE463" s="526" t="str">
        <f>IF(Z464="","",LOOKUP(Z464,KanckRef!$A$2:$A$170,KanckRef!$E$2:$E$170))</f>
        <v/>
      </c>
      <c r="AF463" s="526"/>
      <c r="AG463" s="527"/>
      <c r="AH463" s="527"/>
      <c r="AI463" s="527"/>
      <c r="AJ463" s="527"/>
      <c r="AK463" s="527"/>
      <c r="AL463" s="527"/>
      <c r="AM463" s="527"/>
      <c r="AN463" s="527"/>
      <c r="AO463" s="527"/>
      <c r="AP463" s="527"/>
      <c r="AQ463" s="527"/>
      <c r="AR463" s="527"/>
      <c r="AS463" s="527"/>
      <c r="AT463" s="527"/>
      <c r="AU463" s="527"/>
      <c r="AV463" s="527"/>
      <c r="AW463" s="527"/>
      <c r="AX463" s="528"/>
    </row>
    <row r="464" spans="1:50" x14ac:dyDescent="0.25">
      <c r="A464" s="533"/>
      <c r="B464" s="534"/>
      <c r="C464" s="534"/>
      <c r="D464" s="534"/>
      <c r="E464" s="534"/>
      <c r="F464" s="534"/>
      <c r="G464" s="534"/>
      <c r="H464" s="535" t="str">
        <f>IF(A464="","",LOOKUP(A464,BoonRef!$A$2:$A$430,BoonRef!$P$2:$P$430))</f>
        <v/>
      </c>
      <c r="I464" s="535"/>
      <c r="J464" s="529"/>
      <c r="K464" s="529"/>
      <c r="L464" s="529"/>
      <c r="M464" s="529"/>
      <c r="N464" s="529"/>
      <c r="O464" s="529"/>
      <c r="P464" s="529"/>
      <c r="Q464" s="529"/>
      <c r="R464" s="529"/>
      <c r="S464" s="529"/>
      <c r="T464" s="529"/>
      <c r="U464" s="529"/>
      <c r="V464" s="529"/>
      <c r="W464" s="529"/>
      <c r="X464" s="529"/>
      <c r="Y464" s="530"/>
      <c r="Z464" s="533"/>
      <c r="AA464" s="534"/>
      <c r="AB464" s="534"/>
      <c r="AC464" s="534"/>
      <c r="AD464" s="534"/>
      <c r="AE464" s="535" t="str">
        <f>IF(Z464="","",LOOKUP(Z464,KanckRef!$A$2:$A$170,KanckRef!$F$2:$F$170))</f>
        <v/>
      </c>
      <c r="AF464" s="535"/>
      <c r="AG464" s="529"/>
      <c r="AH464" s="529"/>
      <c r="AI464" s="529"/>
      <c r="AJ464" s="529"/>
      <c r="AK464" s="529"/>
      <c r="AL464" s="529"/>
      <c r="AM464" s="529"/>
      <c r="AN464" s="529"/>
      <c r="AO464" s="529"/>
      <c r="AP464" s="529"/>
      <c r="AQ464" s="529"/>
      <c r="AR464" s="529"/>
      <c r="AS464" s="529"/>
      <c r="AT464" s="529"/>
      <c r="AU464" s="529"/>
      <c r="AV464" s="529"/>
      <c r="AW464" s="529"/>
      <c r="AX464" s="530"/>
    </row>
    <row r="465" spans="1:50" x14ac:dyDescent="0.25">
      <c r="A465" s="533"/>
      <c r="B465" s="534"/>
      <c r="C465" s="534"/>
      <c r="D465" s="534"/>
      <c r="E465" s="534"/>
      <c r="F465" s="534"/>
      <c r="G465" s="534"/>
      <c r="H465" s="535" t="str">
        <f>IF(A464="","",LOOKUP(A464,BoonRef!$A$2:$A$430,BoonRef!$Q$2:$Q$430))</f>
        <v/>
      </c>
      <c r="I465" s="535"/>
      <c r="J465" s="529"/>
      <c r="K465" s="529"/>
      <c r="L465" s="529"/>
      <c r="M465" s="529"/>
      <c r="N465" s="529"/>
      <c r="O465" s="529"/>
      <c r="P465" s="529"/>
      <c r="Q465" s="529"/>
      <c r="R465" s="529"/>
      <c r="S465" s="529"/>
      <c r="T465" s="529"/>
      <c r="U465" s="529"/>
      <c r="V465" s="529"/>
      <c r="W465" s="529"/>
      <c r="X465" s="529"/>
      <c r="Y465" s="530"/>
      <c r="Z465" s="533"/>
      <c r="AA465" s="534"/>
      <c r="AB465" s="534"/>
      <c r="AC465" s="534"/>
      <c r="AD465" s="534"/>
      <c r="AE465" s="535"/>
      <c r="AF465" s="535"/>
      <c r="AG465" s="529"/>
      <c r="AH465" s="529"/>
      <c r="AI465" s="529"/>
      <c r="AJ465" s="529"/>
      <c r="AK465" s="529"/>
      <c r="AL465" s="529"/>
      <c r="AM465" s="529"/>
      <c r="AN465" s="529"/>
      <c r="AO465" s="529"/>
      <c r="AP465" s="529"/>
      <c r="AQ465" s="529"/>
      <c r="AR465" s="529"/>
      <c r="AS465" s="529"/>
      <c r="AT465" s="529"/>
      <c r="AU465" s="529"/>
      <c r="AV465" s="529"/>
      <c r="AW465" s="529"/>
      <c r="AX465" s="530"/>
    </row>
    <row r="466" spans="1:50" x14ac:dyDescent="0.25">
      <c r="A466" s="536" t="str">
        <f>IF(A464="","",LOOKUP(A464,BoonRef!$A$2:$A$430,BoonRef!$O$2:$O$430))</f>
        <v/>
      </c>
      <c r="B466" s="535"/>
      <c r="C466" s="535"/>
      <c r="D466" s="535"/>
      <c r="E466" s="535"/>
      <c r="F466" s="535"/>
      <c r="G466" s="535"/>
      <c r="H466" s="535"/>
      <c r="I466" s="535"/>
      <c r="J466" s="529"/>
      <c r="K466" s="529"/>
      <c r="L466" s="529"/>
      <c r="M466" s="529"/>
      <c r="N466" s="529"/>
      <c r="O466" s="529"/>
      <c r="P466" s="529"/>
      <c r="Q466" s="529"/>
      <c r="R466" s="529"/>
      <c r="S466" s="529"/>
      <c r="T466" s="529"/>
      <c r="U466" s="529"/>
      <c r="V466" s="529"/>
      <c r="W466" s="529"/>
      <c r="X466" s="529"/>
      <c r="Y466" s="530"/>
      <c r="Z466" s="536" t="str">
        <f>IF(Z464="","",LOOKUP(Z464,KanckRef!$A$2:$A$170,KanckRef!$D$2:$D$170))</f>
        <v/>
      </c>
      <c r="AA466" s="535"/>
      <c r="AB466" s="535"/>
      <c r="AC466" s="535"/>
      <c r="AD466" s="535"/>
      <c r="AE466" s="535"/>
      <c r="AF466" s="535"/>
      <c r="AG466" s="529"/>
      <c r="AH466" s="529"/>
      <c r="AI466" s="529"/>
      <c r="AJ466" s="529"/>
      <c r="AK466" s="529"/>
      <c r="AL466" s="529"/>
      <c r="AM466" s="529"/>
      <c r="AN466" s="529"/>
      <c r="AO466" s="529"/>
      <c r="AP466" s="529"/>
      <c r="AQ466" s="529"/>
      <c r="AR466" s="529"/>
      <c r="AS466" s="529"/>
      <c r="AT466" s="529"/>
      <c r="AU466" s="529"/>
      <c r="AV466" s="529"/>
      <c r="AW466" s="529"/>
      <c r="AX466" s="530"/>
    </row>
    <row r="467" spans="1:50" x14ac:dyDescent="0.25">
      <c r="A467" s="536" t="str">
        <f>IF(A464="","",LOOKUP(A464,BoonRef!$A$2:$A$430,BoonRef!$N$2:$N$430))</f>
        <v/>
      </c>
      <c r="B467" s="535"/>
      <c r="C467" s="535"/>
      <c r="D467" s="535"/>
      <c r="E467" s="535"/>
      <c r="F467" s="535"/>
      <c r="G467" s="535"/>
      <c r="H467" s="535"/>
      <c r="I467" s="535"/>
      <c r="J467" s="529"/>
      <c r="K467" s="529"/>
      <c r="L467" s="529"/>
      <c r="M467" s="529"/>
      <c r="N467" s="529"/>
      <c r="O467" s="529"/>
      <c r="P467" s="529"/>
      <c r="Q467" s="529"/>
      <c r="R467" s="529"/>
      <c r="S467" s="529"/>
      <c r="T467" s="529"/>
      <c r="U467" s="529"/>
      <c r="V467" s="529"/>
      <c r="W467" s="529"/>
      <c r="X467" s="529"/>
      <c r="Y467" s="530"/>
      <c r="Z467" s="536"/>
      <c r="AA467" s="535"/>
      <c r="AB467" s="535"/>
      <c r="AC467" s="535"/>
      <c r="AD467" s="535"/>
      <c r="AE467" s="535"/>
      <c r="AF467" s="535"/>
      <c r="AG467" s="529"/>
      <c r="AH467" s="529"/>
      <c r="AI467" s="529"/>
      <c r="AJ467" s="529"/>
      <c r="AK467" s="529"/>
      <c r="AL467" s="529"/>
      <c r="AM467" s="529"/>
      <c r="AN467" s="529"/>
      <c r="AO467" s="529"/>
      <c r="AP467" s="529"/>
      <c r="AQ467" s="529"/>
      <c r="AR467" s="529"/>
      <c r="AS467" s="529"/>
      <c r="AT467" s="529"/>
      <c r="AU467" s="529"/>
      <c r="AV467" s="529"/>
      <c r="AW467" s="529"/>
      <c r="AX467" s="530"/>
    </row>
    <row r="468" spans="1:50" ht="15.75" thickBot="1" x14ac:dyDescent="0.3">
      <c r="A468" s="537"/>
      <c r="B468" s="538"/>
      <c r="C468" s="538"/>
      <c r="D468" s="538"/>
      <c r="E468" s="538"/>
      <c r="F468" s="538"/>
      <c r="G468" s="538"/>
      <c r="H468" s="538"/>
      <c r="I468" s="538"/>
      <c r="J468" s="531"/>
      <c r="K468" s="531"/>
      <c r="L468" s="531"/>
      <c r="M468" s="531"/>
      <c r="N468" s="531"/>
      <c r="O468" s="531"/>
      <c r="P468" s="531"/>
      <c r="Q468" s="531"/>
      <c r="R468" s="531"/>
      <c r="S468" s="531"/>
      <c r="T468" s="531"/>
      <c r="U468" s="531"/>
      <c r="V468" s="531"/>
      <c r="W468" s="531"/>
      <c r="X468" s="531"/>
      <c r="Y468" s="532"/>
      <c r="Z468" s="537"/>
      <c r="AA468" s="538"/>
      <c r="AB468" s="538"/>
      <c r="AC468" s="538"/>
      <c r="AD468" s="538"/>
      <c r="AE468" s="538"/>
      <c r="AF468" s="538"/>
      <c r="AG468" s="531"/>
      <c r="AH468" s="531"/>
      <c r="AI468" s="531"/>
      <c r="AJ468" s="531"/>
      <c r="AK468" s="531"/>
      <c r="AL468" s="531"/>
      <c r="AM468" s="531"/>
      <c r="AN468" s="531"/>
      <c r="AO468" s="531"/>
      <c r="AP468" s="531"/>
      <c r="AQ468" s="531"/>
      <c r="AR468" s="531"/>
      <c r="AS468" s="531"/>
      <c r="AT468" s="531"/>
      <c r="AU468" s="531"/>
      <c r="AV468" s="531"/>
      <c r="AW468" s="531"/>
      <c r="AX468" s="532"/>
    </row>
    <row r="469" spans="1:50" x14ac:dyDescent="0.25">
      <c r="A469" s="524"/>
      <c r="B469" s="525"/>
      <c r="C469" s="525"/>
      <c r="D469" s="525"/>
      <c r="E469" s="525"/>
      <c r="F469" s="525"/>
      <c r="G469" s="525"/>
      <c r="H469" s="526" t="str">
        <f>IF(A470="","",LOOKUP(A470,BoonRef!$A$2:$A$430,BoonRef!$C$2:$C$430))</f>
        <v/>
      </c>
      <c r="I469" s="526"/>
      <c r="J469" s="527"/>
      <c r="K469" s="527"/>
      <c r="L469" s="527"/>
      <c r="M469" s="527"/>
      <c r="N469" s="527"/>
      <c r="O469" s="527"/>
      <c r="P469" s="527"/>
      <c r="Q469" s="527"/>
      <c r="R469" s="527"/>
      <c r="S469" s="527"/>
      <c r="T469" s="527"/>
      <c r="U469" s="527"/>
      <c r="V469" s="527"/>
      <c r="W469" s="527"/>
      <c r="X469" s="527"/>
      <c r="Y469" s="528"/>
      <c r="Z469" s="524"/>
      <c r="AA469" s="525"/>
      <c r="AB469" s="525"/>
      <c r="AC469" s="525"/>
      <c r="AD469" s="525"/>
      <c r="AE469" s="526" t="str">
        <f>IF(Z470="","",LOOKUP(Z470,KanckRef!$A$2:$A$170,KanckRef!$E$2:$E$170))</f>
        <v/>
      </c>
      <c r="AF469" s="526"/>
      <c r="AG469" s="527"/>
      <c r="AH469" s="527"/>
      <c r="AI469" s="527"/>
      <c r="AJ469" s="527"/>
      <c r="AK469" s="527"/>
      <c r="AL469" s="527"/>
      <c r="AM469" s="527"/>
      <c r="AN469" s="527"/>
      <c r="AO469" s="527"/>
      <c r="AP469" s="527"/>
      <c r="AQ469" s="527"/>
      <c r="AR469" s="527"/>
      <c r="AS469" s="527"/>
      <c r="AT469" s="527"/>
      <c r="AU469" s="527"/>
      <c r="AV469" s="527"/>
      <c r="AW469" s="527"/>
      <c r="AX469" s="528"/>
    </row>
    <row r="470" spans="1:50" x14ac:dyDescent="0.25">
      <c r="A470" s="533"/>
      <c r="B470" s="534"/>
      <c r="C470" s="534"/>
      <c r="D470" s="534"/>
      <c r="E470" s="534"/>
      <c r="F470" s="534"/>
      <c r="G470" s="534"/>
      <c r="H470" s="535" t="str">
        <f>IF(A470="","",LOOKUP(A470,BoonRef!$A$2:$A$430,BoonRef!$P$2:$P$430))</f>
        <v/>
      </c>
      <c r="I470" s="535"/>
      <c r="J470" s="529"/>
      <c r="K470" s="529"/>
      <c r="L470" s="529"/>
      <c r="M470" s="529"/>
      <c r="N470" s="529"/>
      <c r="O470" s="529"/>
      <c r="P470" s="529"/>
      <c r="Q470" s="529"/>
      <c r="R470" s="529"/>
      <c r="S470" s="529"/>
      <c r="T470" s="529"/>
      <c r="U470" s="529"/>
      <c r="V470" s="529"/>
      <c r="W470" s="529"/>
      <c r="X470" s="529"/>
      <c r="Y470" s="530"/>
      <c r="Z470" s="533"/>
      <c r="AA470" s="534"/>
      <c r="AB470" s="534"/>
      <c r="AC470" s="534"/>
      <c r="AD470" s="534"/>
      <c r="AE470" s="535" t="str">
        <f>IF(Z470="","",LOOKUP(Z470,KanckRef!$A$2:$A$170,KanckRef!$F$2:$F$170))</f>
        <v/>
      </c>
      <c r="AF470" s="535"/>
      <c r="AG470" s="529"/>
      <c r="AH470" s="529"/>
      <c r="AI470" s="529"/>
      <c r="AJ470" s="529"/>
      <c r="AK470" s="529"/>
      <c r="AL470" s="529"/>
      <c r="AM470" s="529"/>
      <c r="AN470" s="529"/>
      <c r="AO470" s="529"/>
      <c r="AP470" s="529"/>
      <c r="AQ470" s="529"/>
      <c r="AR470" s="529"/>
      <c r="AS470" s="529"/>
      <c r="AT470" s="529"/>
      <c r="AU470" s="529"/>
      <c r="AV470" s="529"/>
      <c r="AW470" s="529"/>
      <c r="AX470" s="530"/>
    </row>
    <row r="471" spans="1:50" x14ac:dyDescent="0.25">
      <c r="A471" s="533"/>
      <c r="B471" s="534"/>
      <c r="C471" s="534"/>
      <c r="D471" s="534"/>
      <c r="E471" s="534"/>
      <c r="F471" s="534"/>
      <c r="G471" s="534"/>
      <c r="H471" s="535" t="str">
        <f>IF(A470="","",LOOKUP(A470,BoonRef!$A$2:$A$430,BoonRef!$Q$2:$Q$430))</f>
        <v/>
      </c>
      <c r="I471" s="535"/>
      <c r="J471" s="529"/>
      <c r="K471" s="529"/>
      <c r="L471" s="529"/>
      <c r="M471" s="529"/>
      <c r="N471" s="529"/>
      <c r="O471" s="529"/>
      <c r="P471" s="529"/>
      <c r="Q471" s="529"/>
      <c r="R471" s="529"/>
      <c r="S471" s="529"/>
      <c r="T471" s="529"/>
      <c r="U471" s="529"/>
      <c r="V471" s="529"/>
      <c r="W471" s="529"/>
      <c r="X471" s="529"/>
      <c r="Y471" s="530"/>
      <c r="Z471" s="533"/>
      <c r="AA471" s="534"/>
      <c r="AB471" s="534"/>
      <c r="AC471" s="534"/>
      <c r="AD471" s="534"/>
      <c r="AE471" s="535"/>
      <c r="AF471" s="535"/>
      <c r="AG471" s="529"/>
      <c r="AH471" s="529"/>
      <c r="AI471" s="529"/>
      <c r="AJ471" s="529"/>
      <c r="AK471" s="529"/>
      <c r="AL471" s="529"/>
      <c r="AM471" s="529"/>
      <c r="AN471" s="529"/>
      <c r="AO471" s="529"/>
      <c r="AP471" s="529"/>
      <c r="AQ471" s="529"/>
      <c r="AR471" s="529"/>
      <c r="AS471" s="529"/>
      <c r="AT471" s="529"/>
      <c r="AU471" s="529"/>
      <c r="AV471" s="529"/>
      <c r="AW471" s="529"/>
      <c r="AX471" s="530"/>
    </row>
    <row r="472" spans="1:50" x14ac:dyDescent="0.25">
      <c r="A472" s="536" t="str">
        <f>IF(A470="","",LOOKUP(A470,BoonRef!$A$2:$A$430,BoonRef!$O$2:$O$430))</f>
        <v/>
      </c>
      <c r="B472" s="535"/>
      <c r="C472" s="535"/>
      <c r="D472" s="535"/>
      <c r="E472" s="535"/>
      <c r="F472" s="535"/>
      <c r="G472" s="535"/>
      <c r="H472" s="535"/>
      <c r="I472" s="535"/>
      <c r="J472" s="529"/>
      <c r="K472" s="529"/>
      <c r="L472" s="529"/>
      <c r="M472" s="529"/>
      <c r="N472" s="529"/>
      <c r="O472" s="529"/>
      <c r="P472" s="529"/>
      <c r="Q472" s="529"/>
      <c r="R472" s="529"/>
      <c r="S472" s="529"/>
      <c r="T472" s="529"/>
      <c r="U472" s="529"/>
      <c r="V472" s="529"/>
      <c r="W472" s="529"/>
      <c r="X472" s="529"/>
      <c r="Y472" s="530"/>
      <c r="Z472" s="536" t="str">
        <f>IF(Z470="","",LOOKUP(Z470,KanckRef!$A$2:$A$170,KanckRef!$D$2:$D$170))</f>
        <v/>
      </c>
      <c r="AA472" s="535"/>
      <c r="AB472" s="535"/>
      <c r="AC472" s="535"/>
      <c r="AD472" s="535"/>
      <c r="AE472" s="535"/>
      <c r="AF472" s="535"/>
      <c r="AG472" s="529"/>
      <c r="AH472" s="529"/>
      <c r="AI472" s="529"/>
      <c r="AJ472" s="529"/>
      <c r="AK472" s="529"/>
      <c r="AL472" s="529"/>
      <c r="AM472" s="529"/>
      <c r="AN472" s="529"/>
      <c r="AO472" s="529"/>
      <c r="AP472" s="529"/>
      <c r="AQ472" s="529"/>
      <c r="AR472" s="529"/>
      <c r="AS472" s="529"/>
      <c r="AT472" s="529"/>
      <c r="AU472" s="529"/>
      <c r="AV472" s="529"/>
      <c r="AW472" s="529"/>
      <c r="AX472" s="530"/>
    </row>
    <row r="473" spans="1:50" x14ac:dyDescent="0.25">
      <c r="A473" s="536" t="str">
        <f>IF(A470="","",LOOKUP(A470,BoonRef!$A$2:$A$430,BoonRef!$N$2:$N$430))</f>
        <v/>
      </c>
      <c r="B473" s="535"/>
      <c r="C473" s="535"/>
      <c r="D473" s="535"/>
      <c r="E473" s="535"/>
      <c r="F473" s="535"/>
      <c r="G473" s="535"/>
      <c r="H473" s="535"/>
      <c r="I473" s="535"/>
      <c r="J473" s="529"/>
      <c r="K473" s="529"/>
      <c r="L473" s="529"/>
      <c r="M473" s="529"/>
      <c r="N473" s="529"/>
      <c r="O473" s="529"/>
      <c r="P473" s="529"/>
      <c r="Q473" s="529"/>
      <c r="R473" s="529"/>
      <c r="S473" s="529"/>
      <c r="T473" s="529"/>
      <c r="U473" s="529"/>
      <c r="V473" s="529"/>
      <c r="W473" s="529"/>
      <c r="X473" s="529"/>
      <c r="Y473" s="530"/>
      <c r="Z473" s="536"/>
      <c r="AA473" s="535"/>
      <c r="AB473" s="535"/>
      <c r="AC473" s="535"/>
      <c r="AD473" s="535"/>
      <c r="AE473" s="535"/>
      <c r="AF473" s="535"/>
      <c r="AG473" s="529"/>
      <c r="AH473" s="529"/>
      <c r="AI473" s="529"/>
      <c r="AJ473" s="529"/>
      <c r="AK473" s="529"/>
      <c r="AL473" s="529"/>
      <c r="AM473" s="529"/>
      <c r="AN473" s="529"/>
      <c r="AO473" s="529"/>
      <c r="AP473" s="529"/>
      <c r="AQ473" s="529"/>
      <c r="AR473" s="529"/>
      <c r="AS473" s="529"/>
      <c r="AT473" s="529"/>
      <c r="AU473" s="529"/>
      <c r="AV473" s="529"/>
      <c r="AW473" s="529"/>
      <c r="AX473" s="530"/>
    </row>
    <row r="474" spans="1:50" ht="15.75" thickBot="1" x14ac:dyDescent="0.3">
      <c r="A474" s="537"/>
      <c r="B474" s="538"/>
      <c r="C474" s="538"/>
      <c r="D474" s="538"/>
      <c r="E474" s="538"/>
      <c r="F474" s="538"/>
      <c r="G474" s="538"/>
      <c r="H474" s="538"/>
      <c r="I474" s="538"/>
      <c r="J474" s="531"/>
      <c r="K474" s="531"/>
      <c r="L474" s="531"/>
      <c r="M474" s="531"/>
      <c r="N474" s="531"/>
      <c r="O474" s="531"/>
      <c r="P474" s="531"/>
      <c r="Q474" s="531"/>
      <c r="R474" s="531"/>
      <c r="S474" s="531"/>
      <c r="T474" s="531"/>
      <c r="U474" s="531"/>
      <c r="V474" s="531"/>
      <c r="W474" s="531"/>
      <c r="X474" s="531"/>
      <c r="Y474" s="532"/>
      <c r="Z474" s="537"/>
      <c r="AA474" s="538"/>
      <c r="AB474" s="538"/>
      <c r="AC474" s="538"/>
      <c r="AD474" s="538"/>
      <c r="AE474" s="538"/>
      <c r="AF474" s="538"/>
      <c r="AG474" s="531"/>
      <c r="AH474" s="531"/>
      <c r="AI474" s="531"/>
      <c r="AJ474" s="531"/>
      <c r="AK474" s="531"/>
      <c r="AL474" s="531"/>
      <c r="AM474" s="531"/>
      <c r="AN474" s="531"/>
      <c r="AO474" s="531"/>
      <c r="AP474" s="531"/>
      <c r="AQ474" s="531"/>
      <c r="AR474" s="531"/>
      <c r="AS474" s="531"/>
      <c r="AT474" s="531"/>
      <c r="AU474" s="531"/>
      <c r="AV474" s="531"/>
      <c r="AW474" s="531"/>
      <c r="AX474" s="532"/>
    </row>
    <row r="475" spans="1:50" x14ac:dyDescent="0.25">
      <c r="A475" s="524"/>
      <c r="B475" s="525"/>
      <c r="C475" s="525"/>
      <c r="D475" s="525"/>
      <c r="E475" s="525"/>
      <c r="F475" s="525"/>
      <c r="G475" s="525"/>
      <c r="H475" s="526" t="str">
        <f>IF(A476="","",LOOKUP(A476,BoonRef!$A$2:$A$430,BoonRef!$C$2:$C$430))</f>
        <v/>
      </c>
      <c r="I475" s="526"/>
      <c r="J475" s="527"/>
      <c r="K475" s="527"/>
      <c r="L475" s="527"/>
      <c r="M475" s="527"/>
      <c r="N475" s="527"/>
      <c r="O475" s="527"/>
      <c r="P475" s="527"/>
      <c r="Q475" s="527"/>
      <c r="R475" s="527"/>
      <c r="S475" s="527"/>
      <c r="T475" s="527"/>
      <c r="U475" s="527"/>
      <c r="V475" s="527"/>
      <c r="W475" s="527"/>
      <c r="X475" s="527"/>
      <c r="Y475" s="528"/>
      <c r="Z475" s="524"/>
      <c r="AA475" s="525"/>
      <c r="AB475" s="525"/>
      <c r="AC475" s="525"/>
      <c r="AD475" s="525"/>
      <c r="AE475" s="526" t="str">
        <f>IF(Z476="","",LOOKUP(Z476,KanckRef!$A$2:$A$170,KanckRef!$E$2:$E$170))</f>
        <v/>
      </c>
      <c r="AF475" s="526"/>
      <c r="AG475" s="527"/>
      <c r="AH475" s="527"/>
      <c r="AI475" s="527"/>
      <c r="AJ475" s="527"/>
      <c r="AK475" s="527"/>
      <c r="AL475" s="527"/>
      <c r="AM475" s="527"/>
      <c r="AN475" s="527"/>
      <c r="AO475" s="527"/>
      <c r="AP475" s="527"/>
      <c r="AQ475" s="527"/>
      <c r="AR475" s="527"/>
      <c r="AS475" s="527"/>
      <c r="AT475" s="527"/>
      <c r="AU475" s="527"/>
      <c r="AV475" s="527"/>
      <c r="AW475" s="527"/>
      <c r="AX475" s="528"/>
    </row>
    <row r="476" spans="1:50" x14ac:dyDescent="0.25">
      <c r="A476" s="533"/>
      <c r="B476" s="534"/>
      <c r="C476" s="534"/>
      <c r="D476" s="534"/>
      <c r="E476" s="534"/>
      <c r="F476" s="534"/>
      <c r="G476" s="534"/>
      <c r="H476" s="535" t="str">
        <f>IF(A476="","",LOOKUP(A476,BoonRef!$A$2:$A$430,BoonRef!$P$2:$P$430))</f>
        <v/>
      </c>
      <c r="I476" s="535"/>
      <c r="J476" s="529"/>
      <c r="K476" s="529"/>
      <c r="L476" s="529"/>
      <c r="M476" s="529"/>
      <c r="N476" s="529"/>
      <c r="O476" s="529"/>
      <c r="P476" s="529"/>
      <c r="Q476" s="529"/>
      <c r="R476" s="529"/>
      <c r="S476" s="529"/>
      <c r="T476" s="529"/>
      <c r="U476" s="529"/>
      <c r="V476" s="529"/>
      <c r="W476" s="529"/>
      <c r="X476" s="529"/>
      <c r="Y476" s="530"/>
      <c r="Z476" s="533"/>
      <c r="AA476" s="534"/>
      <c r="AB476" s="534"/>
      <c r="AC476" s="534"/>
      <c r="AD476" s="534"/>
      <c r="AE476" s="535" t="str">
        <f>IF(Z476="","",LOOKUP(Z476,KanckRef!$A$2:$A$170,KanckRef!$F$2:$F$170))</f>
        <v/>
      </c>
      <c r="AF476" s="535"/>
      <c r="AG476" s="529"/>
      <c r="AH476" s="529"/>
      <c r="AI476" s="529"/>
      <c r="AJ476" s="529"/>
      <c r="AK476" s="529"/>
      <c r="AL476" s="529"/>
      <c r="AM476" s="529"/>
      <c r="AN476" s="529"/>
      <c r="AO476" s="529"/>
      <c r="AP476" s="529"/>
      <c r="AQ476" s="529"/>
      <c r="AR476" s="529"/>
      <c r="AS476" s="529"/>
      <c r="AT476" s="529"/>
      <c r="AU476" s="529"/>
      <c r="AV476" s="529"/>
      <c r="AW476" s="529"/>
      <c r="AX476" s="530"/>
    </row>
    <row r="477" spans="1:50" x14ac:dyDescent="0.25">
      <c r="A477" s="533"/>
      <c r="B477" s="534"/>
      <c r="C477" s="534"/>
      <c r="D477" s="534"/>
      <c r="E477" s="534"/>
      <c r="F477" s="534"/>
      <c r="G477" s="534"/>
      <c r="H477" s="535" t="str">
        <f>IF(A476="","",LOOKUP(A476,BoonRef!$A$2:$A$430,BoonRef!$Q$2:$Q$430))</f>
        <v/>
      </c>
      <c r="I477" s="535"/>
      <c r="J477" s="529"/>
      <c r="K477" s="529"/>
      <c r="L477" s="529"/>
      <c r="M477" s="529"/>
      <c r="N477" s="529"/>
      <c r="O477" s="529"/>
      <c r="P477" s="529"/>
      <c r="Q477" s="529"/>
      <c r="R477" s="529"/>
      <c r="S477" s="529"/>
      <c r="T477" s="529"/>
      <c r="U477" s="529"/>
      <c r="V477" s="529"/>
      <c r="W477" s="529"/>
      <c r="X477" s="529"/>
      <c r="Y477" s="530"/>
      <c r="Z477" s="533"/>
      <c r="AA477" s="534"/>
      <c r="AB477" s="534"/>
      <c r="AC477" s="534"/>
      <c r="AD477" s="534"/>
      <c r="AE477" s="535"/>
      <c r="AF477" s="535"/>
      <c r="AG477" s="529"/>
      <c r="AH477" s="529"/>
      <c r="AI477" s="529"/>
      <c r="AJ477" s="529"/>
      <c r="AK477" s="529"/>
      <c r="AL477" s="529"/>
      <c r="AM477" s="529"/>
      <c r="AN477" s="529"/>
      <c r="AO477" s="529"/>
      <c r="AP477" s="529"/>
      <c r="AQ477" s="529"/>
      <c r="AR477" s="529"/>
      <c r="AS477" s="529"/>
      <c r="AT477" s="529"/>
      <c r="AU477" s="529"/>
      <c r="AV477" s="529"/>
      <c r="AW477" s="529"/>
      <c r="AX477" s="530"/>
    </row>
    <row r="478" spans="1:50" x14ac:dyDescent="0.25">
      <c r="A478" s="536" t="str">
        <f>IF(A476="","",LOOKUP(A476,BoonRef!$A$2:$A$430,BoonRef!$O$2:$O$430))</f>
        <v/>
      </c>
      <c r="B478" s="535"/>
      <c r="C478" s="535"/>
      <c r="D478" s="535"/>
      <c r="E478" s="535"/>
      <c r="F478" s="535"/>
      <c r="G478" s="535"/>
      <c r="H478" s="535"/>
      <c r="I478" s="535"/>
      <c r="J478" s="529"/>
      <c r="K478" s="529"/>
      <c r="L478" s="529"/>
      <c r="M478" s="529"/>
      <c r="N478" s="529"/>
      <c r="O478" s="529"/>
      <c r="P478" s="529"/>
      <c r="Q478" s="529"/>
      <c r="R478" s="529"/>
      <c r="S478" s="529"/>
      <c r="T478" s="529"/>
      <c r="U478" s="529"/>
      <c r="V478" s="529"/>
      <c r="W478" s="529"/>
      <c r="X478" s="529"/>
      <c r="Y478" s="530"/>
      <c r="Z478" s="536" t="str">
        <f>IF(Z476="","",LOOKUP(Z476,KanckRef!$A$2:$A$170,KanckRef!$D$2:$D$170))</f>
        <v/>
      </c>
      <c r="AA478" s="535"/>
      <c r="AB478" s="535"/>
      <c r="AC478" s="535"/>
      <c r="AD478" s="535"/>
      <c r="AE478" s="535"/>
      <c r="AF478" s="535"/>
      <c r="AG478" s="529"/>
      <c r="AH478" s="529"/>
      <c r="AI478" s="529"/>
      <c r="AJ478" s="529"/>
      <c r="AK478" s="529"/>
      <c r="AL478" s="529"/>
      <c r="AM478" s="529"/>
      <c r="AN478" s="529"/>
      <c r="AO478" s="529"/>
      <c r="AP478" s="529"/>
      <c r="AQ478" s="529"/>
      <c r="AR478" s="529"/>
      <c r="AS478" s="529"/>
      <c r="AT478" s="529"/>
      <c r="AU478" s="529"/>
      <c r="AV478" s="529"/>
      <c r="AW478" s="529"/>
      <c r="AX478" s="530"/>
    </row>
    <row r="479" spans="1:50" x14ac:dyDescent="0.25">
      <c r="A479" s="536" t="str">
        <f>IF(A476="","",LOOKUP(A476,BoonRef!$A$2:$A$430,BoonRef!$N$2:$N$430))</f>
        <v/>
      </c>
      <c r="B479" s="535"/>
      <c r="C479" s="535"/>
      <c r="D479" s="535"/>
      <c r="E479" s="535"/>
      <c r="F479" s="535"/>
      <c r="G479" s="535"/>
      <c r="H479" s="535"/>
      <c r="I479" s="535"/>
      <c r="J479" s="529"/>
      <c r="K479" s="529"/>
      <c r="L479" s="529"/>
      <c r="M479" s="529"/>
      <c r="N479" s="529"/>
      <c r="O479" s="529"/>
      <c r="P479" s="529"/>
      <c r="Q479" s="529"/>
      <c r="R479" s="529"/>
      <c r="S479" s="529"/>
      <c r="T479" s="529"/>
      <c r="U479" s="529"/>
      <c r="V479" s="529"/>
      <c r="W479" s="529"/>
      <c r="X479" s="529"/>
      <c r="Y479" s="530"/>
      <c r="Z479" s="536"/>
      <c r="AA479" s="535"/>
      <c r="AB479" s="535"/>
      <c r="AC479" s="535"/>
      <c r="AD479" s="535"/>
      <c r="AE479" s="535"/>
      <c r="AF479" s="535"/>
      <c r="AG479" s="529"/>
      <c r="AH479" s="529"/>
      <c r="AI479" s="529"/>
      <c r="AJ479" s="529"/>
      <c r="AK479" s="529"/>
      <c r="AL479" s="529"/>
      <c r="AM479" s="529"/>
      <c r="AN479" s="529"/>
      <c r="AO479" s="529"/>
      <c r="AP479" s="529"/>
      <c r="AQ479" s="529"/>
      <c r="AR479" s="529"/>
      <c r="AS479" s="529"/>
      <c r="AT479" s="529"/>
      <c r="AU479" s="529"/>
      <c r="AV479" s="529"/>
      <c r="AW479" s="529"/>
      <c r="AX479" s="530"/>
    </row>
    <row r="480" spans="1:50" ht="15.75" thickBot="1" x14ac:dyDescent="0.3">
      <c r="A480" s="537"/>
      <c r="B480" s="538"/>
      <c r="C480" s="538"/>
      <c r="D480" s="538"/>
      <c r="E480" s="538"/>
      <c r="F480" s="538"/>
      <c r="G480" s="538"/>
      <c r="H480" s="538"/>
      <c r="I480" s="538"/>
      <c r="J480" s="531"/>
      <c r="K480" s="531"/>
      <c r="L480" s="531"/>
      <c r="M480" s="531"/>
      <c r="N480" s="531"/>
      <c r="O480" s="531"/>
      <c r="P480" s="531"/>
      <c r="Q480" s="531"/>
      <c r="R480" s="531"/>
      <c r="S480" s="531"/>
      <c r="T480" s="531"/>
      <c r="U480" s="531"/>
      <c r="V480" s="531"/>
      <c r="W480" s="531"/>
      <c r="X480" s="531"/>
      <c r="Y480" s="532"/>
      <c r="Z480" s="537"/>
      <c r="AA480" s="538"/>
      <c r="AB480" s="538"/>
      <c r="AC480" s="538"/>
      <c r="AD480" s="538"/>
      <c r="AE480" s="538"/>
      <c r="AF480" s="538"/>
      <c r="AG480" s="531"/>
      <c r="AH480" s="531"/>
      <c r="AI480" s="531"/>
      <c r="AJ480" s="531"/>
      <c r="AK480" s="531"/>
      <c r="AL480" s="531"/>
      <c r="AM480" s="531"/>
      <c r="AN480" s="531"/>
      <c r="AO480" s="531"/>
      <c r="AP480" s="531"/>
      <c r="AQ480" s="531"/>
      <c r="AR480" s="531"/>
      <c r="AS480" s="531"/>
      <c r="AT480" s="531"/>
      <c r="AU480" s="531"/>
      <c r="AV480" s="531"/>
      <c r="AW480" s="531"/>
      <c r="AX480" s="532"/>
    </row>
    <row r="481" spans="1:50" x14ac:dyDescent="0.25">
      <c r="A481" s="524"/>
      <c r="B481" s="525"/>
      <c r="C481" s="525"/>
      <c r="D481" s="525"/>
      <c r="E481" s="525"/>
      <c r="F481" s="525"/>
      <c r="G481" s="525"/>
      <c r="H481" s="526" t="str">
        <f>IF(A482="","",LOOKUP(A482,BoonRef!$A$2:$A$430,BoonRef!$C$2:$C$430))</f>
        <v/>
      </c>
      <c r="I481" s="526"/>
      <c r="J481" s="527"/>
      <c r="K481" s="527"/>
      <c r="L481" s="527"/>
      <c r="M481" s="527"/>
      <c r="N481" s="527"/>
      <c r="O481" s="527"/>
      <c r="P481" s="527"/>
      <c r="Q481" s="527"/>
      <c r="R481" s="527"/>
      <c r="S481" s="527"/>
      <c r="T481" s="527"/>
      <c r="U481" s="527"/>
      <c r="V481" s="527"/>
      <c r="W481" s="527"/>
      <c r="X481" s="527"/>
      <c r="Y481" s="528"/>
      <c r="Z481" s="524"/>
      <c r="AA481" s="525"/>
      <c r="AB481" s="525"/>
      <c r="AC481" s="525"/>
      <c r="AD481" s="525"/>
      <c r="AE481" s="526" t="str">
        <f>IF(Z482="","",LOOKUP(Z482,KanckRef!$A$2:$A$170,KanckRef!$E$2:$E$170))</f>
        <v/>
      </c>
      <c r="AF481" s="526"/>
      <c r="AG481" s="527"/>
      <c r="AH481" s="527"/>
      <c r="AI481" s="527"/>
      <c r="AJ481" s="527"/>
      <c r="AK481" s="527"/>
      <c r="AL481" s="527"/>
      <c r="AM481" s="527"/>
      <c r="AN481" s="527"/>
      <c r="AO481" s="527"/>
      <c r="AP481" s="527"/>
      <c r="AQ481" s="527"/>
      <c r="AR481" s="527"/>
      <c r="AS481" s="527"/>
      <c r="AT481" s="527"/>
      <c r="AU481" s="527"/>
      <c r="AV481" s="527"/>
      <c r="AW481" s="527"/>
      <c r="AX481" s="528"/>
    </row>
    <row r="482" spans="1:50" x14ac:dyDescent="0.25">
      <c r="A482" s="533"/>
      <c r="B482" s="534"/>
      <c r="C482" s="534"/>
      <c r="D482" s="534"/>
      <c r="E482" s="534"/>
      <c r="F482" s="534"/>
      <c r="G482" s="534"/>
      <c r="H482" s="535" t="str">
        <f>IF(A482="","",LOOKUP(A482,BoonRef!$A$2:$A$430,BoonRef!$P$2:$P$430))</f>
        <v/>
      </c>
      <c r="I482" s="535"/>
      <c r="J482" s="529"/>
      <c r="K482" s="529"/>
      <c r="L482" s="529"/>
      <c r="M482" s="529"/>
      <c r="N482" s="529"/>
      <c r="O482" s="529"/>
      <c r="P482" s="529"/>
      <c r="Q482" s="529"/>
      <c r="R482" s="529"/>
      <c r="S482" s="529"/>
      <c r="T482" s="529"/>
      <c r="U482" s="529"/>
      <c r="V482" s="529"/>
      <c r="W482" s="529"/>
      <c r="X482" s="529"/>
      <c r="Y482" s="530"/>
      <c r="Z482" s="533"/>
      <c r="AA482" s="534"/>
      <c r="AB482" s="534"/>
      <c r="AC482" s="534"/>
      <c r="AD482" s="534"/>
      <c r="AE482" s="535" t="str">
        <f>IF(Z482="","",LOOKUP(Z482,KanckRef!$A$2:$A$170,KanckRef!$F$2:$F$170))</f>
        <v/>
      </c>
      <c r="AF482" s="535"/>
      <c r="AG482" s="529"/>
      <c r="AH482" s="529"/>
      <c r="AI482" s="529"/>
      <c r="AJ482" s="529"/>
      <c r="AK482" s="529"/>
      <c r="AL482" s="529"/>
      <c r="AM482" s="529"/>
      <c r="AN482" s="529"/>
      <c r="AO482" s="529"/>
      <c r="AP482" s="529"/>
      <c r="AQ482" s="529"/>
      <c r="AR482" s="529"/>
      <c r="AS482" s="529"/>
      <c r="AT482" s="529"/>
      <c r="AU482" s="529"/>
      <c r="AV482" s="529"/>
      <c r="AW482" s="529"/>
      <c r="AX482" s="530"/>
    </row>
    <row r="483" spans="1:50" x14ac:dyDescent="0.25">
      <c r="A483" s="533"/>
      <c r="B483" s="534"/>
      <c r="C483" s="534"/>
      <c r="D483" s="534"/>
      <c r="E483" s="534"/>
      <c r="F483" s="534"/>
      <c r="G483" s="534"/>
      <c r="H483" s="535" t="str">
        <f>IF(A482="","",LOOKUP(A482,BoonRef!$A$2:$A$430,BoonRef!$Q$2:$Q$430))</f>
        <v/>
      </c>
      <c r="I483" s="535"/>
      <c r="J483" s="529"/>
      <c r="K483" s="529"/>
      <c r="L483" s="529"/>
      <c r="M483" s="529"/>
      <c r="N483" s="529"/>
      <c r="O483" s="529"/>
      <c r="P483" s="529"/>
      <c r="Q483" s="529"/>
      <c r="R483" s="529"/>
      <c r="S483" s="529"/>
      <c r="T483" s="529"/>
      <c r="U483" s="529"/>
      <c r="V483" s="529"/>
      <c r="W483" s="529"/>
      <c r="X483" s="529"/>
      <c r="Y483" s="530"/>
      <c r="Z483" s="533"/>
      <c r="AA483" s="534"/>
      <c r="AB483" s="534"/>
      <c r="AC483" s="534"/>
      <c r="AD483" s="534"/>
      <c r="AE483" s="535"/>
      <c r="AF483" s="535"/>
      <c r="AG483" s="529"/>
      <c r="AH483" s="529"/>
      <c r="AI483" s="529"/>
      <c r="AJ483" s="529"/>
      <c r="AK483" s="529"/>
      <c r="AL483" s="529"/>
      <c r="AM483" s="529"/>
      <c r="AN483" s="529"/>
      <c r="AO483" s="529"/>
      <c r="AP483" s="529"/>
      <c r="AQ483" s="529"/>
      <c r="AR483" s="529"/>
      <c r="AS483" s="529"/>
      <c r="AT483" s="529"/>
      <c r="AU483" s="529"/>
      <c r="AV483" s="529"/>
      <c r="AW483" s="529"/>
      <c r="AX483" s="530"/>
    </row>
    <row r="484" spans="1:50" x14ac:dyDescent="0.25">
      <c r="A484" s="536" t="str">
        <f>IF(A482="","",LOOKUP(A482,BoonRef!$A$2:$A$430,BoonRef!$O$2:$O$430))</f>
        <v/>
      </c>
      <c r="B484" s="535"/>
      <c r="C484" s="535"/>
      <c r="D484" s="535"/>
      <c r="E484" s="535"/>
      <c r="F484" s="535"/>
      <c r="G484" s="535"/>
      <c r="H484" s="535"/>
      <c r="I484" s="535"/>
      <c r="J484" s="529"/>
      <c r="K484" s="529"/>
      <c r="L484" s="529"/>
      <c r="M484" s="529"/>
      <c r="N484" s="529"/>
      <c r="O484" s="529"/>
      <c r="P484" s="529"/>
      <c r="Q484" s="529"/>
      <c r="R484" s="529"/>
      <c r="S484" s="529"/>
      <c r="T484" s="529"/>
      <c r="U484" s="529"/>
      <c r="V484" s="529"/>
      <c r="W484" s="529"/>
      <c r="X484" s="529"/>
      <c r="Y484" s="530"/>
      <c r="Z484" s="536" t="str">
        <f>IF(Z482="","",LOOKUP(Z482,KanckRef!$A$2:$A$170,KanckRef!$D$2:$D$170))</f>
        <v/>
      </c>
      <c r="AA484" s="535"/>
      <c r="AB484" s="535"/>
      <c r="AC484" s="535"/>
      <c r="AD484" s="535"/>
      <c r="AE484" s="535"/>
      <c r="AF484" s="535"/>
      <c r="AG484" s="529"/>
      <c r="AH484" s="529"/>
      <c r="AI484" s="529"/>
      <c r="AJ484" s="529"/>
      <c r="AK484" s="529"/>
      <c r="AL484" s="529"/>
      <c r="AM484" s="529"/>
      <c r="AN484" s="529"/>
      <c r="AO484" s="529"/>
      <c r="AP484" s="529"/>
      <c r="AQ484" s="529"/>
      <c r="AR484" s="529"/>
      <c r="AS484" s="529"/>
      <c r="AT484" s="529"/>
      <c r="AU484" s="529"/>
      <c r="AV484" s="529"/>
      <c r="AW484" s="529"/>
      <c r="AX484" s="530"/>
    </row>
    <row r="485" spans="1:50" x14ac:dyDescent="0.25">
      <c r="A485" s="536" t="str">
        <f>IF(A482="","",LOOKUP(A482,BoonRef!$A$2:$A$430,BoonRef!$N$2:$N$430))</f>
        <v/>
      </c>
      <c r="B485" s="535"/>
      <c r="C485" s="535"/>
      <c r="D485" s="535"/>
      <c r="E485" s="535"/>
      <c r="F485" s="535"/>
      <c r="G485" s="535"/>
      <c r="H485" s="535"/>
      <c r="I485" s="535"/>
      <c r="J485" s="529"/>
      <c r="K485" s="529"/>
      <c r="L485" s="529"/>
      <c r="M485" s="529"/>
      <c r="N485" s="529"/>
      <c r="O485" s="529"/>
      <c r="P485" s="529"/>
      <c r="Q485" s="529"/>
      <c r="R485" s="529"/>
      <c r="S485" s="529"/>
      <c r="T485" s="529"/>
      <c r="U485" s="529"/>
      <c r="V485" s="529"/>
      <c r="W485" s="529"/>
      <c r="X485" s="529"/>
      <c r="Y485" s="530"/>
      <c r="Z485" s="536"/>
      <c r="AA485" s="535"/>
      <c r="AB485" s="535"/>
      <c r="AC485" s="535"/>
      <c r="AD485" s="535"/>
      <c r="AE485" s="535"/>
      <c r="AF485" s="535"/>
      <c r="AG485" s="529"/>
      <c r="AH485" s="529"/>
      <c r="AI485" s="529"/>
      <c r="AJ485" s="529"/>
      <c r="AK485" s="529"/>
      <c r="AL485" s="529"/>
      <c r="AM485" s="529"/>
      <c r="AN485" s="529"/>
      <c r="AO485" s="529"/>
      <c r="AP485" s="529"/>
      <c r="AQ485" s="529"/>
      <c r="AR485" s="529"/>
      <c r="AS485" s="529"/>
      <c r="AT485" s="529"/>
      <c r="AU485" s="529"/>
      <c r="AV485" s="529"/>
      <c r="AW485" s="529"/>
      <c r="AX485" s="530"/>
    </row>
    <row r="486" spans="1:50" ht="15.75" thickBot="1" x14ac:dyDescent="0.3">
      <c r="A486" s="537"/>
      <c r="B486" s="538"/>
      <c r="C486" s="538"/>
      <c r="D486" s="538"/>
      <c r="E486" s="538"/>
      <c r="F486" s="538"/>
      <c r="G486" s="538"/>
      <c r="H486" s="538"/>
      <c r="I486" s="538"/>
      <c r="J486" s="531"/>
      <c r="K486" s="531"/>
      <c r="L486" s="531"/>
      <c r="M486" s="531"/>
      <c r="N486" s="531"/>
      <c r="O486" s="531"/>
      <c r="P486" s="531"/>
      <c r="Q486" s="531"/>
      <c r="R486" s="531"/>
      <c r="S486" s="531"/>
      <c r="T486" s="531"/>
      <c r="U486" s="531"/>
      <c r="V486" s="531"/>
      <c r="W486" s="531"/>
      <c r="X486" s="531"/>
      <c r="Y486" s="532"/>
      <c r="Z486" s="537"/>
      <c r="AA486" s="538"/>
      <c r="AB486" s="538"/>
      <c r="AC486" s="538"/>
      <c r="AD486" s="538"/>
      <c r="AE486" s="538"/>
      <c r="AF486" s="538"/>
      <c r="AG486" s="531"/>
      <c r="AH486" s="531"/>
      <c r="AI486" s="531"/>
      <c r="AJ486" s="531"/>
      <c r="AK486" s="531"/>
      <c r="AL486" s="531"/>
      <c r="AM486" s="531"/>
      <c r="AN486" s="531"/>
      <c r="AO486" s="531"/>
      <c r="AP486" s="531"/>
      <c r="AQ486" s="531"/>
      <c r="AR486" s="531"/>
      <c r="AS486" s="531"/>
      <c r="AT486" s="531"/>
      <c r="AU486" s="531"/>
      <c r="AV486" s="531"/>
      <c r="AW486" s="531"/>
      <c r="AX486" s="532"/>
    </row>
    <row r="487" spans="1:50" x14ac:dyDescent="0.25">
      <c r="A487" s="524"/>
      <c r="B487" s="525"/>
      <c r="C487" s="525"/>
      <c r="D487" s="525"/>
      <c r="E487" s="525"/>
      <c r="F487" s="525"/>
      <c r="G487" s="525"/>
      <c r="H487" s="526" t="str">
        <f>IF(A488="","",LOOKUP(A488,BoonRef!$A$2:$A$430,BoonRef!$C$2:$C$430))</f>
        <v/>
      </c>
      <c r="I487" s="526"/>
      <c r="J487" s="527"/>
      <c r="K487" s="527"/>
      <c r="L487" s="527"/>
      <c r="M487" s="527"/>
      <c r="N487" s="527"/>
      <c r="O487" s="527"/>
      <c r="P487" s="527"/>
      <c r="Q487" s="527"/>
      <c r="R487" s="527"/>
      <c r="S487" s="527"/>
      <c r="T487" s="527"/>
      <c r="U487" s="527"/>
      <c r="V487" s="527"/>
      <c r="W487" s="527"/>
      <c r="X487" s="527"/>
      <c r="Y487" s="528"/>
      <c r="Z487" s="524"/>
      <c r="AA487" s="525"/>
      <c r="AB487" s="525"/>
      <c r="AC487" s="525"/>
      <c r="AD487" s="525"/>
      <c r="AE487" s="526" t="str">
        <f>IF(Z488="","",LOOKUP(Z488,KanckRef!$A$2:$A$170,KanckRef!$E$2:$E$170))</f>
        <v/>
      </c>
      <c r="AF487" s="526"/>
      <c r="AG487" s="527"/>
      <c r="AH487" s="527"/>
      <c r="AI487" s="527"/>
      <c r="AJ487" s="527"/>
      <c r="AK487" s="527"/>
      <c r="AL487" s="527"/>
      <c r="AM487" s="527"/>
      <c r="AN487" s="527"/>
      <c r="AO487" s="527"/>
      <c r="AP487" s="527"/>
      <c r="AQ487" s="527"/>
      <c r="AR487" s="527"/>
      <c r="AS487" s="527"/>
      <c r="AT487" s="527"/>
      <c r="AU487" s="527"/>
      <c r="AV487" s="527"/>
      <c r="AW487" s="527"/>
      <c r="AX487" s="528"/>
    </row>
    <row r="488" spans="1:50" x14ac:dyDescent="0.25">
      <c r="A488" s="533"/>
      <c r="B488" s="534"/>
      <c r="C488" s="534"/>
      <c r="D488" s="534"/>
      <c r="E488" s="534"/>
      <c r="F488" s="534"/>
      <c r="G488" s="534"/>
      <c r="H488" s="535" t="str">
        <f>IF(A488="","",LOOKUP(A488,BoonRef!$A$2:$A$430,BoonRef!$P$2:$P$430))</f>
        <v/>
      </c>
      <c r="I488" s="535"/>
      <c r="J488" s="529"/>
      <c r="K488" s="529"/>
      <c r="L488" s="529"/>
      <c r="M488" s="529"/>
      <c r="N488" s="529"/>
      <c r="O488" s="529"/>
      <c r="P488" s="529"/>
      <c r="Q488" s="529"/>
      <c r="R488" s="529"/>
      <c r="S488" s="529"/>
      <c r="T488" s="529"/>
      <c r="U488" s="529"/>
      <c r="V488" s="529"/>
      <c r="W488" s="529"/>
      <c r="X488" s="529"/>
      <c r="Y488" s="530"/>
      <c r="Z488" s="533"/>
      <c r="AA488" s="534"/>
      <c r="AB488" s="534"/>
      <c r="AC488" s="534"/>
      <c r="AD488" s="534"/>
      <c r="AE488" s="535" t="str">
        <f>IF(Z488="","",LOOKUP(Z488,KanckRef!$A$2:$A$170,KanckRef!$F$2:$F$170))</f>
        <v/>
      </c>
      <c r="AF488" s="535"/>
      <c r="AG488" s="529"/>
      <c r="AH488" s="529"/>
      <c r="AI488" s="529"/>
      <c r="AJ488" s="529"/>
      <c r="AK488" s="529"/>
      <c r="AL488" s="529"/>
      <c r="AM488" s="529"/>
      <c r="AN488" s="529"/>
      <c r="AO488" s="529"/>
      <c r="AP488" s="529"/>
      <c r="AQ488" s="529"/>
      <c r="AR488" s="529"/>
      <c r="AS488" s="529"/>
      <c r="AT488" s="529"/>
      <c r="AU488" s="529"/>
      <c r="AV488" s="529"/>
      <c r="AW488" s="529"/>
      <c r="AX488" s="530"/>
    </row>
    <row r="489" spans="1:50" x14ac:dyDescent="0.25">
      <c r="A489" s="533"/>
      <c r="B489" s="534"/>
      <c r="C489" s="534"/>
      <c r="D489" s="534"/>
      <c r="E489" s="534"/>
      <c r="F489" s="534"/>
      <c r="G489" s="534"/>
      <c r="H489" s="535" t="str">
        <f>IF(A488="","",LOOKUP(A488,BoonRef!$A$2:$A$430,BoonRef!$Q$2:$Q$430))</f>
        <v/>
      </c>
      <c r="I489" s="535"/>
      <c r="J489" s="529"/>
      <c r="K489" s="529"/>
      <c r="L489" s="529"/>
      <c r="M489" s="529"/>
      <c r="N489" s="529"/>
      <c r="O489" s="529"/>
      <c r="P489" s="529"/>
      <c r="Q489" s="529"/>
      <c r="R489" s="529"/>
      <c r="S489" s="529"/>
      <c r="T489" s="529"/>
      <c r="U489" s="529"/>
      <c r="V489" s="529"/>
      <c r="W489" s="529"/>
      <c r="X489" s="529"/>
      <c r="Y489" s="530"/>
      <c r="Z489" s="533"/>
      <c r="AA489" s="534"/>
      <c r="AB489" s="534"/>
      <c r="AC489" s="534"/>
      <c r="AD489" s="534"/>
      <c r="AE489" s="535"/>
      <c r="AF489" s="535"/>
      <c r="AG489" s="529"/>
      <c r="AH489" s="529"/>
      <c r="AI489" s="529"/>
      <c r="AJ489" s="529"/>
      <c r="AK489" s="529"/>
      <c r="AL489" s="529"/>
      <c r="AM489" s="529"/>
      <c r="AN489" s="529"/>
      <c r="AO489" s="529"/>
      <c r="AP489" s="529"/>
      <c r="AQ489" s="529"/>
      <c r="AR489" s="529"/>
      <c r="AS489" s="529"/>
      <c r="AT489" s="529"/>
      <c r="AU489" s="529"/>
      <c r="AV489" s="529"/>
      <c r="AW489" s="529"/>
      <c r="AX489" s="530"/>
    </row>
    <row r="490" spans="1:50" x14ac:dyDescent="0.25">
      <c r="A490" s="536" t="str">
        <f>IF(A488="","",LOOKUP(A488,BoonRef!$A$2:$A$430,BoonRef!$O$2:$O$430))</f>
        <v/>
      </c>
      <c r="B490" s="535"/>
      <c r="C490" s="535"/>
      <c r="D490" s="535"/>
      <c r="E490" s="535"/>
      <c r="F490" s="535"/>
      <c r="G490" s="535"/>
      <c r="H490" s="535"/>
      <c r="I490" s="535"/>
      <c r="J490" s="529"/>
      <c r="K490" s="529"/>
      <c r="L490" s="529"/>
      <c r="M490" s="529"/>
      <c r="N490" s="529"/>
      <c r="O490" s="529"/>
      <c r="P490" s="529"/>
      <c r="Q490" s="529"/>
      <c r="R490" s="529"/>
      <c r="S490" s="529"/>
      <c r="T490" s="529"/>
      <c r="U490" s="529"/>
      <c r="V490" s="529"/>
      <c r="W490" s="529"/>
      <c r="X490" s="529"/>
      <c r="Y490" s="530"/>
      <c r="Z490" s="536" t="str">
        <f>IF(Z488="","",LOOKUP(Z488,KanckRef!$A$2:$A$170,KanckRef!$D$2:$D$170))</f>
        <v/>
      </c>
      <c r="AA490" s="535"/>
      <c r="AB490" s="535"/>
      <c r="AC490" s="535"/>
      <c r="AD490" s="535"/>
      <c r="AE490" s="535"/>
      <c r="AF490" s="535"/>
      <c r="AG490" s="529"/>
      <c r="AH490" s="529"/>
      <c r="AI490" s="529"/>
      <c r="AJ490" s="529"/>
      <c r="AK490" s="529"/>
      <c r="AL490" s="529"/>
      <c r="AM490" s="529"/>
      <c r="AN490" s="529"/>
      <c r="AO490" s="529"/>
      <c r="AP490" s="529"/>
      <c r="AQ490" s="529"/>
      <c r="AR490" s="529"/>
      <c r="AS490" s="529"/>
      <c r="AT490" s="529"/>
      <c r="AU490" s="529"/>
      <c r="AV490" s="529"/>
      <c r="AW490" s="529"/>
      <c r="AX490" s="530"/>
    </row>
    <row r="491" spans="1:50" x14ac:dyDescent="0.25">
      <c r="A491" s="536" t="str">
        <f>IF(A488="","",LOOKUP(A488,BoonRef!$A$2:$A$430,BoonRef!$N$2:$N$430))</f>
        <v/>
      </c>
      <c r="B491" s="535"/>
      <c r="C491" s="535"/>
      <c r="D491" s="535"/>
      <c r="E491" s="535"/>
      <c r="F491" s="535"/>
      <c r="G491" s="535"/>
      <c r="H491" s="535"/>
      <c r="I491" s="535"/>
      <c r="J491" s="529"/>
      <c r="K491" s="529"/>
      <c r="L491" s="529"/>
      <c r="M491" s="529"/>
      <c r="N491" s="529"/>
      <c r="O491" s="529"/>
      <c r="P491" s="529"/>
      <c r="Q491" s="529"/>
      <c r="R491" s="529"/>
      <c r="S491" s="529"/>
      <c r="T491" s="529"/>
      <c r="U491" s="529"/>
      <c r="V491" s="529"/>
      <c r="W491" s="529"/>
      <c r="X491" s="529"/>
      <c r="Y491" s="530"/>
      <c r="Z491" s="536"/>
      <c r="AA491" s="535"/>
      <c r="AB491" s="535"/>
      <c r="AC491" s="535"/>
      <c r="AD491" s="535"/>
      <c r="AE491" s="535"/>
      <c r="AF491" s="535"/>
      <c r="AG491" s="529"/>
      <c r="AH491" s="529"/>
      <c r="AI491" s="529"/>
      <c r="AJ491" s="529"/>
      <c r="AK491" s="529"/>
      <c r="AL491" s="529"/>
      <c r="AM491" s="529"/>
      <c r="AN491" s="529"/>
      <c r="AO491" s="529"/>
      <c r="AP491" s="529"/>
      <c r="AQ491" s="529"/>
      <c r="AR491" s="529"/>
      <c r="AS491" s="529"/>
      <c r="AT491" s="529"/>
      <c r="AU491" s="529"/>
      <c r="AV491" s="529"/>
      <c r="AW491" s="529"/>
      <c r="AX491" s="530"/>
    </row>
    <row r="492" spans="1:50" ht="15.75" thickBot="1" x14ac:dyDescent="0.3">
      <c r="A492" s="537"/>
      <c r="B492" s="538"/>
      <c r="C492" s="538"/>
      <c r="D492" s="538"/>
      <c r="E492" s="538"/>
      <c r="F492" s="538"/>
      <c r="G492" s="538"/>
      <c r="H492" s="538"/>
      <c r="I492" s="538"/>
      <c r="J492" s="531"/>
      <c r="K492" s="531"/>
      <c r="L492" s="531"/>
      <c r="M492" s="531"/>
      <c r="N492" s="531"/>
      <c r="O492" s="531"/>
      <c r="P492" s="531"/>
      <c r="Q492" s="531"/>
      <c r="R492" s="531"/>
      <c r="S492" s="531"/>
      <c r="T492" s="531"/>
      <c r="U492" s="531"/>
      <c r="V492" s="531"/>
      <c r="W492" s="531"/>
      <c r="X492" s="531"/>
      <c r="Y492" s="532"/>
      <c r="Z492" s="537"/>
      <c r="AA492" s="538"/>
      <c r="AB492" s="538"/>
      <c r="AC492" s="538"/>
      <c r="AD492" s="538"/>
      <c r="AE492" s="538"/>
      <c r="AF492" s="538"/>
      <c r="AG492" s="531"/>
      <c r="AH492" s="531"/>
      <c r="AI492" s="531"/>
      <c r="AJ492" s="531"/>
      <c r="AK492" s="531"/>
      <c r="AL492" s="531"/>
      <c r="AM492" s="531"/>
      <c r="AN492" s="531"/>
      <c r="AO492" s="531"/>
      <c r="AP492" s="531"/>
      <c r="AQ492" s="531"/>
      <c r="AR492" s="531"/>
      <c r="AS492" s="531"/>
      <c r="AT492" s="531"/>
      <c r="AU492" s="531"/>
      <c r="AV492" s="531"/>
      <c r="AW492" s="531"/>
      <c r="AX492" s="532"/>
    </row>
    <row r="493" spans="1:50" x14ac:dyDescent="0.25">
      <c r="A493" s="524"/>
      <c r="B493" s="525"/>
      <c r="C493" s="525"/>
      <c r="D493" s="525"/>
      <c r="E493" s="525"/>
      <c r="F493" s="525"/>
      <c r="G493" s="525"/>
      <c r="H493" s="526" t="str">
        <f>IF(A494="","",LOOKUP(A494,BoonRef!$A$2:$A$430,BoonRef!$C$2:$C$430))</f>
        <v/>
      </c>
      <c r="I493" s="526"/>
      <c r="J493" s="527"/>
      <c r="K493" s="527"/>
      <c r="L493" s="527"/>
      <c r="M493" s="527"/>
      <c r="N493" s="527"/>
      <c r="O493" s="527"/>
      <c r="P493" s="527"/>
      <c r="Q493" s="527"/>
      <c r="R493" s="527"/>
      <c r="S493" s="527"/>
      <c r="T493" s="527"/>
      <c r="U493" s="527"/>
      <c r="V493" s="527"/>
      <c r="W493" s="527"/>
      <c r="X493" s="527"/>
      <c r="Y493" s="528"/>
      <c r="Z493" s="524"/>
      <c r="AA493" s="525"/>
      <c r="AB493" s="525"/>
      <c r="AC493" s="525"/>
      <c r="AD493" s="525"/>
      <c r="AE493" s="526" t="str">
        <f>IF(Z494="","",LOOKUP(Z494,KanckRef!$A$2:$A$170,KanckRef!$E$2:$E$170))</f>
        <v/>
      </c>
      <c r="AF493" s="526"/>
      <c r="AG493" s="527"/>
      <c r="AH493" s="527"/>
      <c r="AI493" s="527"/>
      <c r="AJ493" s="527"/>
      <c r="AK493" s="527"/>
      <c r="AL493" s="527"/>
      <c r="AM493" s="527"/>
      <c r="AN493" s="527"/>
      <c r="AO493" s="527"/>
      <c r="AP493" s="527"/>
      <c r="AQ493" s="527"/>
      <c r="AR493" s="527"/>
      <c r="AS493" s="527"/>
      <c r="AT493" s="527"/>
      <c r="AU493" s="527"/>
      <c r="AV493" s="527"/>
      <c r="AW493" s="527"/>
      <c r="AX493" s="528"/>
    </row>
    <row r="494" spans="1:50" x14ac:dyDescent="0.25">
      <c r="A494" s="533"/>
      <c r="B494" s="534"/>
      <c r="C494" s="534"/>
      <c r="D494" s="534"/>
      <c r="E494" s="534"/>
      <c r="F494" s="534"/>
      <c r="G494" s="534"/>
      <c r="H494" s="535" t="str">
        <f>IF(A494="","",LOOKUP(A494,BoonRef!$A$2:$A$430,BoonRef!$P$2:$P$430))</f>
        <v/>
      </c>
      <c r="I494" s="535"/>
      <c r="J494" s="529"/>
      <c r="K494" s="529"/>
      <c r="L494" s="529"/>
      <c r="M494" s="529"/>
      <c r="N494" s="529"/>
      <c r="O494" s="529"/>
      <c r="P494" s="529"/>
      <c r="Q494" s="529"/>
      <c r="R494" s="529"/>
      <c r="S494" s="529"/>
      <c r="T494" s="529"/>
      <c r="U494" s="529"/>
      <c r="V494" s="529"/>
      <c r="W494" s="529"/>
      <c r="X494" s="529"/>
      <c r="Y494" s="530"/>
      <c r="Z494" s="533"/>
      <c r="AA494" s="534"/>
      <c r="AB494" s="534"/>
      <c r="AC494" s="534"/>
      <c r="AD494" s="534"/>
      <c r="AE494" s="535" t="str">
        <f>IF(Z494="","",LOOKUP(Z494,KanckRef!$A$2:$A$170,KanckRef!$F$2:$F$170))</f>
        <v/>
      </c>
      <c r="AF494" s="535"/>
      <c r="AG494" s="529"/>
      <c r="AH494" s="529"/>
      <c r="AI494" s="529"/>
      <c r="AJ494" s="529"/>
      <c r="AK494" s="529"/>
      <c r="AL494" s="529"/>
      <c r="AM494" s="529"/>
      <c r="AN494" s="529"/>
      <c r="AO494" s="529"/>
      <c r="AP494" s="529"/>
      <c r="AQ494" s="529"/>
      <c r="AR494" s="529"/>
      <c r="AS494" s="529"/>
      <c r="AT494" s="529"/>
      <c r="AU494" s="529"/>
      <c r="AV494" s="529"/>
      <c r="AW494" s="529"/>
      <c r="AX494" s="530"/>
    </row>
    <row r="495" spans="1:50" x14ac:dyDescent="0.25">
      <c r="A495" s="533"/>
      <c r="B495" s="534"/>
      <c r="C495" s="534"/>
      <c r="D495" s="534"/>
      <c r="E495" s="534"/>
      <c r="F495" s="534"/>
      <c r="G495" s="534"/>
      <c r="H495" s="535" t="str">
        <f>IF(A494="","",LOOKUP(A494,BoonRef!$A$2:$A$430,BoonRef!$Q$2:$Q$430))</f>
        <v/>
      </c>
      <c r="I495" s="535"/>
      <c r="J495" s="529"/>
      <c r="K495" s="529"/>
      <c r="L495" s="529"/>
      <c r="M495" s="529"/>
      <c r="N495" s="529"/>
      <c r="O495" s="529"/>
      <c r="P495" s="529"/>
      <c r="Q495" s="529"/>
      <c r="R495" s="529"/>
      <c r="S495" s="529"/>
      <c r="T495" s="529"/>
      <c r="U495" s="529"/>
      <c r="V495" s="529"/>
      <c r="W495" s="529"/>
      <c r="X495" s="529"/>
      <c r="Y495" s="530"/>
      <c r="Z495" s="533"/>
      <c r="AA495" s="534"/>
      <c r="AB495" s="534"/>
      <c r="AC495" s="534"/>
      <c r="AD495" s="534"/>
      <c r="AE495" s="535"/>
      <c r="AF495" s="535"/>
      <c r="AG495" s="529"/>
      <c r="AH495" s="529"/>
      <c r="AI495" s="529"/>
      <c r="AJ495" s="529"/>
      <c r="AK495" s="529"/>
      <c r="AL495" s="529"/>
      <c r="AM495" s="529"/>
      <c r="AN495" s="529"/>
      <c r="AO495" s="529"/>
      <c r="AP495" s="529"/>
      <c r="AQ495" s="529"/>
      <c r="AR495" s="529"/>
      <c r="AS495" s="529"/>
      <c r="AT495" s="529"/>
      <c r="AU495" s="529"/>
      <c r="AV495" s="529"/>
      <c r="AW495" s="529"/>
      <c r="AX495" s="530"/>
    </row>
    <row r="496" spans="1:50" x14ac:dyDescent="0.25">
      <c r="A496" s="536" t="str">
        <f>IF(A494="","",LOOKUP(A494,BoonRef!$A$2:$A$430,BoonRef!$O$2:$O$430))</f>
        <v/>
      </c>
      <c r="B496" s="535"/>
      <c r="C496" s="535"/>
      <c r="D496" s="535"/>
      <c r="E496" s="535"/>
      <c r="F496" s="535"/>
      <c r="G496" s="535"/>
      <c r="H496" s="535"/>
      <c r="I496" s="535"/>
      <c r="J496" s="529"/>
      <c r="K496" s="529"/>
      <c r="L496" s="529"/>
      <c r="M496" s="529"/>
      <c r="N496" s="529"/>
      <c r="O496" s="529"/>
      <c r="P496" s="529"/>
      <c r="Q496" s="529"/>
      <c r="R496" s="529"/>
      <c r="S496" s="529"/>
      <c r="T496" s="529"/>
      <c r="U496" s="529"/>
      <c r="V496" s="529"/>
      <c r="W496" s="529"/>
      <c r="X496" s="529"/>
      <c r="Y496" s="530"/>
      <c r="Z496" s="536" t="str">
        <f>IF(Z494="","",LOOKUP(Z494,KanckRef!$A$2:$A$170,KanckRef!$D$2:$D$170))</f>
        <v/>
      </c>
      <c r="AA496" s="535"/>
      <c r="AB496" s="535"/>
      <c r="AC496" s="535"/>
      <c r="AD496" s="535"/>
      <c r="AE496" s="535"/>
      <c r="AF496" s="535"/>
      <c r="AG496" s="529"/>
      <c r="AH496" s="529"/>
      <c r="AI496" s="529"/>
      <c r="AJ496" s="529"/>
      <c r="AK496" s="529"/>
      <c r="AL496" s="529"/>
      <c r="AM496" s="529"/>
      <c r="AN496" s="529"/>
      <c r="AO496" s="529"/>
      <c r="AP496" s="529"/>
      <c r="AQ496" s="529"/>
      <c r="AR496" s="529"/>
      <c r="AS496" s="529"/>
      <c r="AT496" s="529"/>
      <c r="AU496" s="529"/>
      <c r="AV496" s="529"/>
      <c r="AW496" s="529"/>
      <c r="AX496" s="530"/>
    </row>
    <row r="497" spans="1:50" x14ac:dyDescent="0.25">
      <c r="A497" s="536" t="str">
        <f>IF(A494="","",LOOKUP(A494,BoonRef!$A$2:$A$430,BoonRef!$N$2:$N$430))</f>
        <v/>
      </c>
      <c r="B497" s="535"/>
      <c r="C497" s="535"/>
      <c r="D497" s="535"/>
      <c r="E497" s="535"/>
      <c r="F497" s="535"/>
      <c r="G497" s="535"/>
      <c r="H497" s="535"/>
      <c r="I497" s="535"/>
      <c r="J497" s="529"/>
      <c r="K497" s="529"/>
      <c r="L497" s="529"/>
      <c r="M497" s="529"/>
      <c r="N497" s="529"/>
      <c r="O497" s="529"/>
      <c r="P497" s="529"/>
      <c r="Q497" s="529"/>
      <c r="R497" s="529"/>
      <c r="S497" s="529"/>
      <c r="T497" s="529"/>
      <c r="U497" s="529"/>
      <c r="V497" s="529"/>
      <c r="W497" s="529"/>
      <c r="X497" s="529"/>
      <c r="Y497" s="530"/>
      <c r="Z497" s="536"/>
      <c r="AA497" s="535"/>
      <c r="AB497" s="535"/>
      <c r="AC497" s="535"/>
      <c r="AD497" s="535"/>
      <c r="AE497" s="535"/>
      <c r="AF497" s="535"/>
      <c r="AG497" s="529"/>
      <c r="AH497" s="529"/>
      <c r="AI497" s="529"/>
      <c r="AJ497" s="529"/>
      <c r="AK497" s="529"/>
      <c r="AL497" s="529"/>
      <c r="AM497" s="529"/>
      <c r="AN497" s="529"/>
      <c r="AO497" s="529"/>
      <c r="AP497" s="529"/>
      <c r="AQ497" s="529"/>
      <c r="AR497" s="529"/>
      <c r="AS497" s="529"/>
      <c r="AT497" s="529"/>
      <c r="AU497" s="529"/>
      <c r="AV497" s="529"/>
      <c r="AW497" s="529"/>
      <c r="AX497" s="530"/>
    </row>
    <row r="498" spans="1:50" ht="15.75" thickBot="1" x14ac:dyDescent="0.3">
      <c r="A498" s="537"/>
      <c r="B498" s="538"/>
      <c r="C498" s="538"/>
      <c r="D498" s="538"/>
      <c r="E498" s="538"/>
      <c r="F498" s="538"/>
      <c r="G498" s="538"/>
      <c r="H498" s="538"/>
      <c r="I498" s="538"/>
      <c r="J498" s="531"/>
      <c r="K498" s="531"/>
      <c r="L498" s="531"/>
      <c r="M498" s="531"/>
      <c r="N498" s="531"/>
      <c r="O498" s="531"/>
      <c r="P498" s="531"/>
      <c r="Q498" s="531"/>
      <c r="R498" s="531"/>
      <c r="S498" s="531"/>
      <c r="T498" s="531"/>
      <c r="U498" s="531"/>
      <c r="V498" s="531"/>
      <c r="W498" s="531"/>
      <c r="X498" s="531"/>
      <c r="Y498" s="532"/>
      <c r="Z498" s="537"/>
      <c r="AA498" s="538"/>
      <c r="AB498" s="538"/>
      <c r="AC498" s="538"/>
      <c r="AD498" s="538"/>
      <c r="AE498" s="538"/>
      <c r="AF498" s="538"/>
      <c r="AG498" s="531"/>
      <c r="AH498" s="531"/>
      <c r="AI498" s="531"/>
      <c r="AJ498" s="531"/>
      <c r="AK498" s="531"/>
      <c r="AL498" s="531"/>
      <c r="AM498" s="531"/>
      <c r="AN498" s="531"/>
      <c r="AO498" s="531"/>
      <c r="AP498" s="531"/>
      <c r="AQ498" s="531"/>
      <c r="AR498" s="531"/>
      <c r="AS498" s="531"/>
      <c r="AT498" s="531"/>
      <c r="AU498" s="531"/>
      <c r="AV498" s="531"/>
      <c r="AW498" s="531"/>
      <c r="AX498" s="532"/>
    </row>
    <row r="499" spans="1:50" x14ac:dyDescent="0.25">
      <c r="A499" s="524"/>
      <c r="B499" s="525"/>
      <c r="C499" s="525"/>
      <c r="D499" s="525"/>
      <c r="E499" s="525"/>
      <c r="F499" s="525"/>
      <c r="G499" s="525"/>
      <c r="H499" s="526" t="str">
        <f>IF(A500="","",LOOKUP(A500,BoonRef!$A$2:$A$430,BoonRef!$C$2:$C$430))</f>
        <v/>
      </c>
      <c r="I499" s="526"/>
      <c r="J499" s="527"/>
      <c r="K499" s="527"/>
      <c r="L499" s="527"/>
      <c r="M499" s="527"/>
      <c r="N499" s="527"/>
      <c r="O499" s="527"/>
      <c r="P499" s="527"/>
      <c r="Q499" s="527"/>
      <c r="R499" s="527"/>
      <c r="S499" s="527"/>
      <c r="T499" s="527"/>
      <c r="U499" s="527"/>
      <c r="V499" s="527"/>
      <c r="W499" s="527"/>
      <c r="X499" s="527"/>
      <c r="Y499" s="528"/>
      <c r="Z499" s="524"/>
      <c r="AA499" s="525"/>
      <c r="AB499" s="525"/>
      <c r="AC499" s="525"/>
      <c r="AD499" s="525"/>
      <c r="AE499" s="526" t="str">
        <f>IF(Z500="","",LOOKUP(Z500,KanckRef!$A$2:$A$170,KanckRef!$E$2:$E$170))</f>
        <v/>
      </c>
      <c r="AF499" s="526"/>
      <c r="AG499" s="527"/>
      <c r="AH499" s="527"/>
      <c r="AI499" s="527"/>
      <c r="AJ499" s="527"/>
      <c r="AK499" s="527"/>
      <c r="AL499" s="527"/>
      <c r="AM499" s="527"/>
      <c r="AN499" s="527"/>
      <c r="AO499" s="527"/>
      <c r="AP499" s="527"/>
      <c r="AQ499" s="527"/>
      <c r="AR499" s="527"/>
      <c r="AS499" s="527"/>
      <c r="AT499" s="527"/>
      <c r="AU499" s="527"/>
      <c r="AV499" s="527"/>
      <c r="AW499" s="527"/>
      <c r="AX499" s="528"/>
    </row>
    <row r="500" spans="1:50" x14ac:dyDescent="0.25">
      <c r="A500" s="533"/>
      <c r="B500" s="534"/>
      <c r="C500" s="534"/>
      <c r="D500" s="534"/>
      <c r="E500" s="534"/>
      <c r="F500" s="534"/>
      <c r="G500" s="534"/>
      <c r="H500" s="535" t="str">
        <f>IF(A500="","",LOOKUP(A500,BoonRef!$A$2:$A$430,BoonRef!$P$2:$P$430))</f>
        <v/>
      </c>
      <c r="I500" s="535"/>
      <c r="J500" s="529"/>
      <c r="K500" s="529"/>
      <c r="L500" s="529"/>
      <c r="M500" s="529"/>
      <c r="N500" s="529"/>
      <c r="O500" s="529"/>
      <c r="P500" s="529"/>
      <c r="Q500" s="529"/>
      <c r="R500" s="529"/>
      <c r="S500" s="529"/>
      <c r="T500" s="529"/>
      <c r="U500" s="529"/>
      <c r="V500" s="529"/>
      <c r="W500" s="529"/>
      <c r="X500" s="529"/>
      <c r="Y500" s="530"/>
      <c r="Z500" s="533"/>
      <c r="AA500" s="534"/>
      <c r="AB500" s="534"/>
      <c r="AC500" s="534"/>
      <c r="AD500" s="534"/>
      <c r="AE500" s="535" t="str">
        <f>IF(Z500="","",LOOKUP(Z500,KanckRef!$A$2:$A$170,KanckRef!$F$2:$F$170))</f>
        <v/>
      </c>
      <c r="AF500" s="535"/>
      <c r="AG500" s="529"/>
      <c r="AH500" s="529"/>
      <c r="AI500" s="529"/>
      <c r="AJ500" s="529"/>
      <c r="AK500" s="529"/>
      <c r="AL500" s="529"/>
      <c r="AM500" s="529"/>
      <c r="AN500" s="529"/>
      <c r="AO500" s="529"/>
      <c r="AP500" s="529"/>
      <c r="AQ500" s="529"/>
      <c r="AR500" s="529"/>
      <c r="AS500" s="529"/>
      <c r="AT500" s="529"/>
      <c r="AU500" s="529"/>
      <c r="AV500" s="529"/>
      <c r="AW500" s="529"/>
      <c r="AX500" s="530"/>
    </row>
    <row r="501" spans="1:50" x14ac:dyDescent="0.25">
      <c r="A501" s="533"/>
      <c r="B501" s="534"/>
      <c r="C501" s="534"/>
      <c r="D501" s="534"/>
      <c r="E501" s="534"/>
      <c r="F501" s="534"/>
      <c r="G501" s="534"/>
      <c r="H501" s="535" t="str">
        <f>IF(A500="","",LOOKUP(A500,BoonRef!$A$2:$A$430,BoonRef!$Q$2:$Q$430))</f>
        <v/>
      </c>
      <c r="I501" s="535"/>
      <c r="J501" s="529"/>
      <c r="K501" s="529"/>
      <c r="L501" s="529"/>
      <c r="M501" s="529"/>
      <c r="N501" s="529"/>
      <c r="O501" s="529"/>
      <c r="P501" s="529"/>
      <c r="Q501" s="529"/>
      <c r="R501" s="529"/>
      <c r="S501" s="529"/>
      <c r="T501" s="529"/>
      <c r="U501" s="529"/>
      <c r="V501" s="529"/>
      <c r="W501" s="529"/>
      <c r="X501" s="529"/>
      <c r="Y501" s="530"/>
      <c r="Z501" s="533"/>
      <c r="AA501" s="534"/>
      <c r="AB501" s="534"/>
      <c r="AC501" s="534"/>
      <c r="AD501" s="534"/>
      <c r="AE501" s="535"/>
      <c r="AF501" s="535"/>
      <c r="AG501" s="529"/>
      <c r="AH501" s="529"/>
      <c r="AI501" s="529"/>
      <c r="AJ501" s="529"/>
      <c r="AK501" s="529"/>
      <c r="AL501" s="529"/>
      <c r="AM501" s="529"/>
      <c r="AN501" s="529"/>
      <c r="AO501" s="529"/>
      <c r="AP501" s="529"/>
      <c r="AQ501" s="529"/>
      <c r="AR501" s="529"/>
      <c r="AS501" s="529"/>
      <c r="AT501" s="529"/>
      <c r="AU501" s="529"/>
      <c r="AV501" s="529"/>
      <c r="AW501" s="529"/>
      <c r="AX501" s="530"/>
    </row>
    <row r="502" spans="1:50" x14ac:dyDescent="0.25">
      <c r="A502" s="536" t="str">
        <f>IF(A500="","",LOOKUP(A500,BoonRef!$A$2:$A$430,BoonRef!$O$2:$O$430))</f>
        <v/>
      </c>
      <c r="B502" s="535"/>
      <c r="C502" s="535"/>
      <c r="D502" s="535"/>
      <c r="E502" s="535"/>
      <c r="F502" s="535"/>
      <c r="G502" s="535"/>
      <c r="H502" s="535"/>
      <c r="I502" s="535"/>
      <c r="J502" s="529"/>
      <c r="K502" s="529"/>
      <c r="L502" s="529"/>
      <c r="M502" s="529"/>
      <c r="N502" s="529"/>
      <c r="O502" s="529"/>
      <c r="P502" s="529"/>
      <c r="Q502" s="529"/>
      <c r="R502" s="529"/>
      <c r="S502" s="529"/>
      <c r="T502" s="529"/>
      <c r="U502" s="529"/>
      <c r="V502" s="529"/>
      <c r="W502" s="529"/>
      <c r="X502" s="529"/>
      <c r="Y502" s="530"/>
      <c r="Z502" s="536" t="str">
        <f>IF(Z500="","",LOOKUP(Z500,KanckRef!$A$2:$A$170,KanckRef!$D$2:$D$170))</f>
        <v/>
      </c>
      <c r="AA502" s="535"/>
      <c r="AB502" s="535"/>
      <c r="AC502" s="535"/>
      <c r="AD502" s="535"/>
      <c r="AE502" s="535"/>
      <c r="AF502" s="535"/>
      <c r="AG502" s="529"/>
      <c r="AH502" s="529"/>
      <c r="AI502" s="529"/>
      <c r="AJ502" s="529"/>
      <c r="AK502" s="529"/>
      <c r="AL502" s="529"/>
      <c r="AM502" s="529"/>
      <c r="AN502" s="529"/>
      <c r="AO502" s="529"/>
      <c r="AP502" s="529"/>
      <c r="AQ502" s="529"/>
      <c r="AR502" s="529"/>
      <c r="AS502" s="529"/>
      <c r="AT502" s="529"/>
      <c r="AU502" s="529"/>
      <c r="AV502" s="529"/>
      <c r="AW502" s="529"/>
      <c r="AX502" s="530"/>
    </row>
    <row r="503" spans="1:50" x14ac:dyDescent="0.25">
      <c r="A503" s="536" t="str">
        <f>IF(A500="","",LOOKUP(A500,BoonRef!$A$2:$A$430,BoonRef!$N$2:$N$430))</f>
        <v/>
      </c>
      <c r="B503" s="535"/>
      <c r="C503" s="535"/>
      <c r="D503" s="535"/>
      <c r="E503" s="535"/>
      <c r="F503" s="535"/>
      <c r="G503" s="535"/>
      <c r="H503" s="535"/>
      <c r="I503" s="535"/>
      <c r="J503" s="529"/>
      <c r="K503" s="529"/>
      <c r="L503" s="529"/>
      <c r="M503" s="529"/>
      <c r="N503" s="529"/>
      <c r="O503" s="529"/>
      <c r="P503" s="529"/>
      <c r="Q503" s="529"/>
      <c r="R503" s="529"/>
      <c r="S503" s="529"/>
      <c r="T503" s="529"/>
      <c r="U503" s="529"/>
      <c r="V503" s="529"/>
      <c r="W503" s="529"/>
      <c r="X503" s="529"/>
      <c r="Y503" s="530"/>
      <c r="Z503" s="536"/>
      <c r="AA503" s="535"/>
      <c r="AB503" s="535"/>
      <c r="AC503" s="535"/>
      <c r="AD503" s="535"/>
      <c r="AE503" s="535"/>
      <c r="AF503" s="535"/>
      <c r="AG503" s="529"/>
      <c r="AH503" s="529"/>
      <c r="AI503" s="529"/>
      <c r="AJ503" s="529"/>
      <c r="AK503" s="529"/>
      <c r="AL503" s="529"/>
      <c r="AM503" s="529"/>
      <c r="AN503" s="529"/>
      <c r="AO503" s="529"/>
      <c r="AP503" s="529"/>
      <c r="AQ503" s="529"/>
      <c r="AR503" s="529"/>
      <c r="AS503" s="529"/>
      <c r="AT503" s="529"/>
      <c r="AU503" s="529"/>
      <c r="AV503" s="529"/>
      <c r="AW503" s="529"/>
      <c r="AX503" s="530"/>
    </row>
    <row r="504" spans="1:50" ht="15.75" thickBot="1" x14ac:dyDescent="0.3">
      <c r="A504" s="537"/>
      <c r="B504" s="538"/>
      <c r="C504" s="538"/>
      <c r="D504" s="538"/>
      <c r="E504" s="538"/>
      <c r="F504" s="538"/>
      <c r="G504" s="538"/>
      <c r="H504" s="538"/>
      <c r="I504" s="538"/>
      <c r="J504" s="531"/>
      <c r="K504" s="531"/>
      <c r="L504" s="531"/>
      <c r="M504" s="531"/>
      <c r="N504" s="531"/>
      <c r="O504" s="531"/>
      <c r="P504" s="531"/>
      <c r="Q504" s="531"/>
      <c r="R504" s="531"/>
      <c r="S504" s="531"/>
      <c r="T504" s="531"/>
      <c r="U504" s="531"/>
      <c r="V504" s="531"/>
      <c r="W504" s="531"/>
      <c r="X504" s="531"/>
      <c r="Y504" s="532"/>
      <c r="Z504" s="537"/>
      <c r="AA504" s="538"/>
      <c r="AB504" s="538"/>
      <c r="AC504" s="538"/>
      <c r="AD504" s="538"/>
      <c r="AE504" s="538"/>
      <c r="AF504" s="538"/>
      <c r="AG504" s="531"/>
      <c r="AH504" s="531"/>
      <c r="AI504" s="531"/>
      <c r="AJ504" s="531"/>
      <c r="AK504" s="531"/>
      <c r="AL504" s="531"/>
      <c r="AM504" s="531"/>
      <c r="AN504" s="531"/>
      <c r="AO504" s="531"/>
      <c r="AP504" s="531"/>
      <c r="AQ504" s="531"/>
      <c r="AR504" s="531"/>
      <c r="AS504" s="531"/>
      <c r="AT504" s="531"/>
      <c r="AU504" s="531"/>
      <c r="AV504" s="531"/>
      <c r="AW504" s="531"/>
      <c r="AX504" s="532"/>
    </row>
    <row r="505" spans="1:50" x14ac:dyDescent="0.25">
      <c r="A505" s="524"/>
      <c r="B505" s="525"/>
      <c r="C505" s="525"/>
      <c r="D505" s="525"/>
      <c r="E505" s="525"/>
      <c r="F505" s="525"/>
      <c r="G505" s="525"/>
      <c r="H505" s="526" t="str">
        <f>IF(A506="","",LOOKUP(A506,BoonRef!$A$2:$A$430,BoonRef!$C$2:$C$430))</f>
        <v/>
      </c>
      <c r="I505" s="526"/>
      <c r="J505" s="527"/>
      <c r="K505" s="527"/>
      <c r="L505" s="527"/>
      <c r="M505" s="527"/>
      <c r="N505" s="527"/>
      <c r="O505" s="527"/>
      <c r="P505" s="527"/>
      <c r="Q505" s="527"/>
      <c r="R505" s="527"/>
      <c r="S505" s="527"/>
      <c r="T505" s="527"/>
      <c r="U505" s="527"/>
      <c r="V505" s="527"/>
      <c r="W505" s="527"/>
      <c r="X505" s="527"/>
      <c r="Y505" s="528"/>
      <c r="Z505" s="524"/>
      <c r="AA505" s="525"/>
      <c r="AB505" s="525"/>
      <c r="AC505" s="525"/>
      <c r="AD505" s="525"/>
      <c r="AE505" s="526" t="str">
        <f>IF(Z506="","",LOOKUP(Z506,KanckRef!$A$2:$A$170,KanckRef!$E$2:$E$170))</f>
        <v/>
      </c>
      <c r="AF505" s="526"/>
      <c r="AG505" s="527"/>
      <c r="AH505" s="527"/>
      <c r="AI505" s="527"/>
      <c r="AJ505" s="527"/>
      <c r="AK505" s="527"/>
      <c r="AL505" s="527"/>
      <c r="AM505" s="527"/>
      <c r="AN505" s="527"/>
      <c r="AO505" s="527"/>
      <c r="AP505" s="527"/>
      <c r="AQ505" s="527"/>
      <c r="AR505" s="527"/>
      <c r="AS505" s="527"/>
      <c r="AT505" s="527"/>
      <c r="AU505" s="527"/>
      <c r="AV505" s="527"/>
      <c r="AW505" s="527"/>
      <c r="AX505" s="528"/>
    </row>
    <row r="506" spans="1:50" x14ac:dyDescent="0.25">
      <c r="A506" s="533"/>
      <c r="B506" s="534"/>
      <c r="C506" s="534"/>
      <c r="D506" s="534"/>
      <c r="E506" s="534"/>
      <c r="F506" s="534"/>
      <c r="G506" s="534"/>
      <c r="H506" s="535" t="str">
        <f>IF(A506="","",LOOKUP(A506,BoonRef!$A$2:$A$430,BoonRef!$P$2:$P$430))</f>
        <v/>
      </c>
      <c r="I506" s="535"/>
      <c r="J506" s="529"/>
      <c r="K506" s="529"/>
      <c r="L506" s="529"/>
      <c r="M506" s="529"/>
      <c r="N506" s="529"/>
      <c r="O506" s="529"/>
      <c r="P506" s="529"/>
      <c r="Q506" s="529"/>
      <c r="R506" s="529"/>
      <c r="S506" s="529"/>
      <c r="T506" s="529"/>
      <c r="U506" s="529"/>
      <c r="V506" s="529"/>
      <c r="W506" s="529"/>
      <c r="X506" s="529"/>
      <c r="Y506" s="530"/>
      <c r="Z506" s="533"/>
      <c r="AA506" s="534"/>
      <c r="AB506" s="534"/>
      <c r="AC506" s="534"/>
      <c r="AD506" s="534"/>
      <c r="AE506" s="535" t="str">
        <f>IF(Z506="","",LOOKUP(Z506,KanckRef!$A$2:$A$170,KanckRef!$F$2:$F$170))</f>
        <v/>
      </c>
      <c r="AF506" s="535"/>
      <c r="AG506" s="529"/>
      <c r="AH506" s="529"/>
      <c r="AI506" s="529"/>
      <c r="AJ506" s="529"/>
      <c r="AK506" s="529"/>
      <c r="AL506" s="529"/>
      <c r="AM506" s="529"/>
      <c r="AN506" s="529"/>
      <c r="AO506" s="529"/>
      <c r="AP506" s="529"/>
      <c r="AQ506" s="529"/>
      <c r="AR506" s="529"/>
      <c r="AS506" s="529"/>
      <c r="AT506" s="529"/>
      <c r="AU506" s="529"/>
      <c r="AV506" s="529"/>
      <c r="AW506" s="529"/>
      <c r="AX506" s="530"/>
    </row>
    <row r="507" spans="1:50" x14ac:dyDescent="0.25">
      <c r="A507" s="533"/>
      <c r="B507" s="534"/>
      <c r="C507" s="534"/>
      <c r="D507" s="534"/>
      <c r="E507" s="534"/>
      <c r="F507" s="534"/>
      <c r="G507" s="534"/>
      <c r="H507" s="535" t="str">
        <f>IF(A506="","",LOOKUP(A506,BoonRef!$A$2:$A$430,BoonRef!$Q$2:$Q$430))</f>
        <v/>
      </c>
      <c r="I507" s="535"/>
      <c r="J507" s="529"/>
      <c r="K507" s="529"/>
      <c r="L507" s="529"/>
      <c r="M507" s="529"/>
      <c r="N507" s="529"/>
      <c r="O507" s="529"/>
      <c r="P507" s="529"/>
      <c r="Q507" s="529"/>
      <c r="R507" s="529"/>
      <c r="S507" s="529"/>
      <c r="T507" s="529"/>
      <c r="U507" s="529"/>
      <c r="V507" s="529"/>
      <c r="W507" s="529"/>
      <c r="X507" s="529"/>
      <c r="Y507" s="530"/>
      <c r="Z507" s="533"/>
      <c r="AA507" s="534"/>
      <c r="AB507" s="534"/>
      <c r="AC507" s="534"/>
      <c r="AD507" s="534"/>
      <c r="AE507" s="535"/>
      <c r="AF507" s="535"/>
      <c r="AG507" s="529"/>
      <c r="AH507" s="529"/>
      <c r="AI507" s="529"/>
      <c r="AJ507" s="529"/>
      <c r="AK507" s="529"/>
      <c r="AL507" s="529"/>
      <c r="AM507" s="529"/>
      <c r="AN507" s="529"/>
      <c r="AO507" s="529"/>
      <c r="AP507" s="529"/>
      <c r="AQ507" s="529"/>
      <c r="AR507" s="529"/>
      <c r="AS507" s="529"/>
      <c r="AT507" s="529"/>
      <c r="AU507" s="529"/>
      <c r="AV507" s="529"/>
      <c r="AW507" s="529"/>
      <c r="AX507" s="530"/>
    </row>
    <row r="508" spans="1:50" x14ac:dyDescent="0.25">
      <c r="A508" s="536" t="str">
        <f>IF(A506="","",LOOKUP(A506,BoonRef!$A$2:$A$430,BoonRef!$O$2:$O$430))</f>
        <v/>
      </c>
      <c r="B508" s="535"/>
      <c r="C508" s="535"/>
      <c r="D508" s="535"/>
      <c r="E508" s="535"/>
      <c r="F508" s="535"/>
      <c r="G508" s="535"/>
      <c r="H508" s="535"/>
      <c r="I508" s="535"/>
      <c r="J508" s="529"/>
      <c r="K508" s="529"/>
      <c r="L508" s="529"/>
      <c r="M508" s="529"/>
      <c r="N508" s="529"/>
      <c r="O508" s="529"/>
      <c r="P508" s="529"/>
      <c r="Q508" s="529"/>
      <c r="R508" s="529"/>
      <c r="S508" s="529"/>
      <c r="T508" s="529"/>
      <c r="U508" s="529"/>
      <c r="V508" s="529"/>
      <c r="W508" s="529"/>
      <c r="X508" s="529"/>
      <c r="Y508" s="530"/>
      <c r="Z508" s="536" t="str">
        <f>IF(Z506="","",LOOKUP(Z506,KanckRef!$A$2:$A$170,KanckRef!$D$2:$D$170))</f>
        <v/>
      </c>
      <c r="AA508" s="535"/>
      <c r="AB508" s="535"/>
      <c r="AC508" s="535"/>
      <c r="AD508" s="535"/>
      <c r="AE508" s="535"/>
      <c r="AF508" s="535"/>
      <c r="AG508" s="529"/>
      <c r="AH508" s="529"/>
      <c r="AI508" s="529"/>
      <c r="AJ508" s="529"/>
      <c r="AK508" s="529"/>
      <c r="AL508" s="529"/>
      <c r="AM508" s="529"/>
      <c r="AN508" s="529"/>
      <c r="AO508" s="529"/>
      <c r="AP508" s="529"/>
      <c r="AQ508" s="529"/>
      <c r="AR508" s="529"/>
      <c r="AS508" s="529"/>
      <c r="AT508" s="529"/>
      <c r="AU508" s="529"/>
      <c r="AV508" s="529"/>
      <c r="AW508" s="529"/>
      <c r="AX508" s="530"/>
    </row>
    <row r="509" spans="1:50" x14ac:dyDescent="0.25">
      <c r="A509" s="536" t="str">
        <f>IF(A506="","",LOOKUP(A506,BoonRef!$A$2:$A$430,BoonRef!$N$2:$N$430))</f>
        <v/>
      </c>
      <c r="B509" s="535"/>
      <c r="C509" s="535"/>
      <c r="D509" s="535"/>
      <c r="E509" s="535"/>
      <c r="F509" s="535"/>
      <c r="G509" s="535"/>
      <c r="H509" s="535"/>
      <c r="I509" s="535"/>
      <c r="J509" s="529"/>
      <c r="K509" s="529"/>
      <c r="L509" s="529"/>
      <c r="M509" s="529"/>
      <c r="N509" s="529"/>
      <c r="O509" s="529"/>
      <c r="P509" s="529"/>
      <c r="Q509" s="529"/>
      <c r="R509" s="529"/>
      <c r="S509" s="529"/>
      <c r="T509" s="529"/>
      <c r="U509" s="529"/>
      <c r="V509" s="529"/>
      <c r="W509" s="529"/>
      <c r="X509" s="529"/>
      <c r="Y509" s="530"/>
      <c r="Z509" s="536"/>
      <c r="AA509" s="535"/>
      <c r="AB509" s="535"/>
      <c r="AC509" s="535"/>
      <c r="AD509" s="535"/>
      <c r="AE509" s="535"/>
      <c r="AF509" s="535"/>
      <c r="AG509" s="529"/>
      <c r="AH509" s="529"/>
      <c r="AI509" s="529"/>
      <c r="AJ509" s="529"/>
      <c r="AK509" s="529"/>
      <c r="AL509" s="529"/>
      <c r="AM509" s="529"/>
      <c r="AN509" s="529"/>
      <c r="AO509" s="529"/>
      <c r="AP509" s="529"/>
      <c r="AQ509" s="529"/>
      <c r="AR509" s="529"/>
      <c r="AS509" s="529"/>
      <c r="AT509" s="529"/>
      <c r="AU509" s="529"/>
      <c r="AV509" s="529"/>
      <c r="AW509" s="529"/>
      <c r="AX509" s="530"/>
    </row>
    <row r="510" spans="1:50" ht="15.75" thickBot="1" x14ac:dyDescent="0.3">
      <c r="A510" s="537"/>
      <c r="B510" s="538"/>
      <c r="C510" s="538"/>
      <c r="D510" s="538"/>
      <c r="E510" s="538"/>
      <c r="F510" s="538"/>
      <c r="G510" s="538"/>
      <c r="H510" s="538"/>
      <c r="I510" s="538"/>
      <c r="J510" s="531"/>
      <c r="K510" s="531"/>
      <c r="L510" s="531"/>
      <c r="M510" s="531"/>
      <c r="N510" s="531"/>
      <c r="O510" s="531"/>
      <c r="P510" s="531"/>
      <c r="Q510" s="531"/>
      <c r="R510" s="531"/>
      <c r="S510" s="531"/>
      <c r="T510" s="531"/>
      <c r="U510" s="531"/>
      <c r="V510" s="531"/>
      <c r="W510" s="531"/>
      <c r="X510" s="531"/>
      <c r="Y510" s="532"/>
      <c r="Z510" s="537"/>
      <c r="AA510" s="538"/>
      <c r="AB510" s="538"/>
      <c r="AC510" s="538"/>
      <c r="AD510" s="538"/>
      <c r="AE510" s="538"/>
      <c r="AF510" s="538"/>
      <c r="AG510" s="531"/>
      <c r="AH510" s="531"/>
      <c r="AI510" s="531"/>
      <c r="AJ510" s="531"/>
      <c r="AK510" s="531"/>
      <c r="AL510" s="531"/>
      <c r="AM510" s="531"/>
      <c r="AN510" s="531"/>
      <c r="AO510" s="531"/>
      <c r="AP510" s="531"/>
      <c r="AQ510" s="531"/>
      <c r="AR510" s="531"/>
      <c r="AS510" s="531"/>
      <c r="AT510" s="531"/>
      <c r="AU510" s="531"/>
      <c r="AV510" s="531"/>
      <c r="AW510" s="531"/>
      <c r="AX510" s="532"/>
    </row>
    <row r="511" spans="1:50" x14ac:dyDescent="0.25">
      <c r="A511" s="524"/>
      <c r="B511" s="525"/>
      <c r="C511" s="525"/>
      <c r="D511" s="525"/>
      <c r="E511" s="525"/>
      <c r="F511" s="525"/>
      <c r="G511" s="525"/>
      <c r="H511" s="526" t="str">
        <f>IF(A512="","",LOOKUP(A512,BoonRef!$A$2:$A$430,BoonRef!$C$2:$C$430))</f>
        <v/>
      </c>
      <c r="I511" s="526"/>
      <c r="J511" s="527"/>
      <c r="K511" s="527"/>
      <c r="L511" s="527"/>
      <c r="M511" s="527"/>
      <c r="N511" s="527"/>
      <c r="O511" s="527"/>
      <c r="P511" s="527"/>
      <c r="Q511" s="527"/>
      <c r="R511" s="527"/>
      <c r="S511" s="527"/>
      <c r="T511" s="527"/>
      <c r="U511" s="527"/>
      <c r="V511" s="527"/>
      <c r="W511" s="527"/>
      <c r="X511" s="527"/>
      <c r="Y511" s="528"/>
      <c r="Z511" s="524"/>
      <c r="AA511" s="525"/>
      <c r="AB511" s="525"/>
      <c r="AC511" s="525"/>
      <c r="AD511" s="525"/>
      <c r="AE511" s="526" t="str">
        <f>IF(Z512="","",LOOKUP(Z512,KanckRef!$A$2:$A$170,KanckRef!$E$2:$E$170))</f>
        <v/>
      </c>
      <c r="AF511" s="526"/>
      <c r="AG511" s="527"/>
      <c r="AH511" s="527"/>
      <c r="AI511" s="527"/>
      <c r="AJ511" s="527"/>
      <c r="AK511" s="527"/>
      <c r="AL511" s="527"/>
      <c r="AM511" s="527"/>
      <c r="AN511" s="527"/>
      <c r="AO511" s="527"/>
      <c r="AP511" s="527"/>
      <c r="AQ511" s="527"/>
      <c r="AR511" s="527"/>
      <c r="AS511" s="527"/>
      <c r="AT511" s="527"/>
      <c r="AU511" s="527"/>
      <c r="AV511" s="527"/>
      <c r="AW511" s="527"/>
      <c r="AX511" s="528"/>
    </row>
    <row r="512" spans="1:50" x14ac:dyDescent="0.25">
      <c r="A512" s="533"/>
      <c r="B512" s="534"/>
      <c r="C512" s="534"/>
      <c r="D512" s="534"/>
      <c r="E512" s="534"/>
      <c r="F512" s="534"/>
      <c r="G512" s="534"/>
      <c r="H512" s="535" t="str">
        <f>IF(A512="","",LOOKUP(A512,BoonRef!$A$2:$A$430,BoonRef!$P$2:$P$430))</f>
        <v/>
      </c>
      <c r="I512" s="535"/>
      <c r="J512" s="529"/>
      <c r="K512" s="529"/>
      <c r="L512" s="529"/>
      <c r="M512" s="529"/>
      <c r="N512" s="529"/>
      <c r="O512" s="529"/>
      <c r="P512" s="529"/>
      <c r="Q512" s="529"/>
      <c r="R512" s="529"/>
      <c r="S512" s="529"/>
      <c r="T512" s="529"/>
      <c r="U512" s="529"/>
      <c r="V512" s="529"/>
      <c r="W512" s="529"/>
      <c r="X512" s="529"/>
      <c r="Y512" s="530"/>
      <c r="Z512" s="533"/>
      <c r="AA512" s="534"/>
      <c r="AB512" s="534"/>
      <c r="AC512" s="534"/>
      <c r="AD512" s="534"/>
      <c r="AE512" s="535" t="str">
        <f>IF(Z512="","",LOOKUP(Z512,KanckRef!$A$2:$A$170,KanckRef!$F$2:$F$170))</f>
        <v/>
      </c>
      <c r="AF512" s="535"/>
      <c r="AG512" s="529"/>
      <c r="AH512" s="529"/>
      <c r="AI512" s="529"/>
      <c r="AJ512" s="529"/>
      <c r="AK512" s="529"/>
      <c r="AL512" s="529"/>
      <c r="AM512" s="529"/>
      <c r="AN512" s="529"/>
      <c r="AO512" s="529"/>
      <c r="AP512" s="529"/>
      <c r="AQ512" s="529"/>
      <c r="AR512" s="529"/>
      <c r="AS512" s="529"/>
      <c r="AT512" s="529"/>
      <c r="AU512" s="529"/>
      <c r="AV512" s="529"/>
      <c r="AW512" s="529"/>
      <c r="AX512" s="530"/>
    </row>
    <row r="513" spans="1:50" x14ac:dyDescent="0.25">
      <c r="A513" s="533"/>
      <c r="B513" s="534"/>
      <c r="C513" s="534"/>
      <c r="D513" s="534"/>
      <c r="E513" s="534"/>
      <c r="F513" s="534"/>
      <c r="G513" s="534"/>
      <c r="H513" s="535" t="str">
        <f>IF(A512="","",LOOKUP(A512,BoonRef!$A$2:$A$430,BoonRef!$Q$2:$Q$430))</f>
        <v/>
      </c>
      <c r="I513" s="535"/>
      <c r="J513" s="529"/>
      <c r="K513" s="529"/>
      <c r="L513" s="529"/>
      <c r="M513" s="529"/>
      <c r="N513" s="529"/>
      <c r="O513" s="529"/>
      <c r="P513" s="529"/>
      <c r="Q513" s="529"/>
      <c r="R513" s="529"/>
      <c r="S513" s="529"/>
      <c r="T513" s="529"/>
      <c r="U513" s="529"/>
      <c r="V513" s="529"/>
      <c r="W513" s="529"/>
      <c r="X513" s="529"/>
      <c r="Y513" s="530"/>
      <c r="Z513" s="533"/>
      <c r="AA513" s="534"/>
      <c r="AB513" s="534"/>
      <c r="AC513" s="534"/>
      <c r="AD513" s="534"/>
      <c r="AE513" s="535"/>
      <c r="AF513" s="535"/>
      <c r="AG513" s="529"/>
      <c r="AH513" s="529"/>
      <c r="AI513" s="529"/>
      <c r="AJ513" s="529"/>
      <c r="AK513" s="529"/>
      <c r="AL513" s="529"/>
      <c r="AM513" s="529"/>
      <c r="AN513" s="529"/>
      <c r="AO513" s="529"/>
      <c r="AP513" s="529"/>
      <c r="AQ513" s="529"/>
      <c r="AR513" s="529"/>
      <c r="AS513" s="529"/>
      <c r="AT513" s="529"/>
      <c r="AU513" s="529"/>
      <c r="AV513" s="529"/>
      <c r="AW513" s="529"/>
      <c r="AX513" s="530"/>
    </row>
    <row r="514" spans="1:50" x14ac:dyDescent="0.25">
      <c r="A514" s="536" t="str">
        <f>IF(A512="","",LOOKUP(A512,BoonRef!$A$2:$A$430,BoonRef!$O$2:$O$430))</f>
        <v/>
      </c>
      <c r="B514" s="535"/>
      <c r="C514" s="535"/>
      <c r="D514" s="535"/>
      <c r="E514" s="535"/>
      <c r="F514" s="535"/>
      <c r="G514" s="535"/>
      <c r="H514" s="535"/>
      <c r="I514" s="535"/>
      <c r="J514" s="529"/>
      <c r="K514" s="529"/>
      <c r="L514" s="529"/>
      <c r="M514" s="529"/>
      <c r="N514" s="529"/>
      <c r="O514" s="529"/>
      <c r="P514" s="529"/>
      <c r="Q514" s="529"/>
      <c r="R514" s="529"/>
      <c r="S514" s="529"/>
      <c r="T514" s="529"/>
      <c r="U514" s="529"/>
      <c r="V514" s="529"/>
      <c r="W514" s="529"/>
      <c r="X514" s="529"/>
      <c r="Y514" s="530"/>
      <c r="Z514" s="536" t="str">
        <f>IF(Z512="","",LOOKUP(Z512,KanckRef!$A$2:$A$170,KanckRef!$D$2:$D$170))</f>
        <v/>
      </c>
      <c r="AA514" s="535"/>
      <c r="AB514" s="535"/>
      <c r="AC514" s="535"/>
      <c r="AD514" s="535"/>
      <c r="AE514" s="535"/>
      <c r="AF514" s="535"/>
      <c r="AG514" s="529"/>
      <c r="AH514" s="529"/>
      <c r="AI514" s="529"/>
      <c r="AJ514" s="529"/>
      <c r="AK514" s="529"/>
      <c r="AL514" s="529"/>
      <c r="AM514" s="529"/>
      <c r="AN514" s="529"/>
      <c r="AO514" s="529"/>
      <c r="AP514" s="529"/>
      <c r="AQ514" s="529"/>
      <c r="AR514" s="529"/>
      <c r="AS514" s="529"/>
      <c r="AT514" s="529"/>
      <c r="AU514" s="529"/>
      <c r="AV514" s="529"/>
      <c r="AW514" s="529"/>
      <c r="AX514" s="530"/>
    </row>
    <row r="515" spans="1:50" x14ac:dyDescent="0.25">
      <c r="A515" s="536" t="str">
        <f>IF(A512="","",LOOKUP(A512,BoonRef!$A$2:$A$430,BoonRef!$N$2:$N$430))</f>
        <v/>
      </c>
      <c r="B515" s="535"/>
      <c r="C515" s="535"/>
      <c r="D515" s="535"/>
      <c r="E515" s="535"/>
      <c r="F515" s="535"/>
      <c r="G515" s="535"/>
      <c r="H515" s="535"/>
      <c r="I515" s="535"/>
      <c r="J515" s="529"/>
      <c r="K515" s="529"/>
      <c r="L515" s="529"/>
      <c r="M515" s="529"/>
      <c r="N515" s="529"/>
      <c r="O515" s="529"/>
      <c r="P515" s="529"/>
      <c r="Q515" s="529"/>
      <c r="R515" s="529"/>
      <c r="S515" s="529"/>
      <c r="T515" s="529"/>
      <c r="U515" s="529"/>
      <c r="V515" s="529"/>
      <c r="W515" s="529"/>
      <c r="X515" s="529"/>
      <c r="Y515" s="530"/>
      <c r="Z515" s="536"/>
      <c r="AA515" s="535"/>
      <c r="AB515" s="535"/>
      <c r="AC515" s="535"/>
      <c r="AD515" s="535"/>
      <c r="AE515" s="535"/>
      <c r="AF515" s="535"/>
      <c r="AG515" s="529"/>
      <c r="AH515" s="529"/>
      <c r="AI515" s="529"/>
      <c r="AJ515" s="529"/>
      <c r="AK515" s="529"/>
      <c r="AL515" s="529"/>
      <c r="AM515" s="529"/>
      <c r="AN515" s="529"/>
      <c r="AO515" s="529"/>
      <c r="AP515" s="529"/>
      <c r="AQ515" s="529"/>
      <c r="AR515" s="529"/>
      <c r="AS515" s="529"/>
      <c r="AT515" s="529"/>
      <c r="AU515" s="529"/>
      <c r="AV515" s="529"/>
      <c r="AW515" s="529"/>
      <c r="AX515" s="530"/>
    </row>
    <row r="516" spans="1:50" ht="15.75" thickBot="1" x14ac:dyDescent="0.3">
      <c r="A516" s="537"/>
      <c r="B516" s="538"/>
      <c r="C516" s="538"/>
      <c r="D516" s="538"/>
      <c r="E516" s="538"/>
      <c r="F516" s="538"/>
      <c r="G516" s="538"/>
      <c r="H516" s="538"/>
      <c r="I516" s="538"/>
      <c r="J516" s="531"/>
      <c r="K516" s="531"/>
      <c r="L516" s="531"/>
      <c r="M516" s="531"/>
      <c r="N516" s="531"/>
      <c r="O516" s="531"/>
      <c r="P516" s="531"/>
      <c r="Q516" s="531"/>
      <c r="R516" s="531"/>
      <c r="S516" s="531"/>
      <c r="T516" s="531"/>
      <c r="U516" s="531"/>
      <c r="V516" s="531"/>
      <c r="W516" s="531"/>
      <c r="X516" s="531"/>
      <c r="Y516" s="532"/>
      <c r="Z516" s="537"/>
      <c r="AA516" s="538"/>
      <c r="AB516" s="538"/>
      <c r="AC516" s="538"/>
      <c r="AD516" s="538"/>
      <c r="AE516" s="538"/>
      <c r="AF516" s="538"/>
      <c r="AG516" s="531"/>
      <c r="AH516" s="531"/>
      <c r="AI516" s="531"/>
      <c r="AJ516" s="531"/>
      <c r="AK516" s="531"/>
      <c r="AL516" s="531"/>
      <c r="AM516" s="531"/>
      <c r="AN516" s="531"/>
      <c r="AO516" s="531"/>
      <c r="AP516" s="531"/>
      <c r="AQ516" s="531"/>
      <c r="AR516" s="531"/>
      <c r="AS516" s="531"/>
      <c r="AT516" s="531"/>
      <c r="AU516" s="531"/>
      <c r="AV516" s="531"/>
      <c r="AW516" s="531"/>
      <c r="AX516" s="532"/>
    </row>
    <row r="517" spans="1:50" x14ac:dyDescent="0.25">
      <c r="A517" s="524"/>
      <c r="B517" s="525"/>
      <c r="C517" s="525"/>
      <c r="D517" s="525"/>
      <c r="E517" s="525"/>
      <c r="F517" s="525"/>
      <c r="G517" s="525"/>
      <c r="H517" s="526" t="str">
        <f>IF(A518="","",LOOKUP(A518,BoonRef!$A$2:$A$430,BoonRef!$C$2:$C$430))</f>
        <v/>
      </c>
      <c r="I517" s="526"/>
      <c r="J517" s="527"/>
      <c r="K517" s="527"/>
      <c r="L517" s="527"/>
      <c r="M517" s="527"/>
      <c r="N517" s="527"/>
      <c r="O517" s="527"/>
      <c r="P517" s="527"/>
      <c r="Q517" s="527"/>
      <c r="R517" s="527"/>
      <c r="S517" s="527"/>
      <c r="T517" s="527"/>
      <c r="U517" s="527"/>
      <c r="V517" s="527"/>
      <c r="W517" s="527"/>
      <c r="X517" s="527"/>
      <c r="Y517" s="528"/>
      <c r="Z517" s="524"/>
      <c r="AA517" s="525"/>
      <c r="AB517" s="525"/>
      <c r="AC517" s="525"/>
      <c r="AD517" s="525"/>
      <c r="AE517" s="526" t="str">
        <f>IF(Z518="","",LOOKUP(Z518,KanckRef!$A$2:$A$170,KanckRef!$E$2:$E$170))</f>
        <v/>
      </c>
      <c r="AF517" s="526"/>
      <c r="AG517" s="527"/>
      <c r="AH517" s="527"/>
      <c r="AI517" s="527"/>
      <c r="AJ517" s="527"/>
      <c r="AK517" s="527"/>
      <c r="AL517" s="527"/>
      <c r="AM517" s="527"/>
      <c r="AN517" s="527"/>
      <c r="AO517" s="527"/>
      <c r="AP517" s="527"/>
      <c r="AQ517" s="527"/>
      <c r="AR517" s="527"/>
      <c r="AS517" s="527"/>
      <c r="AT517" s="527"/>
      <c r="AU517" s="527"/>
      <c r="AV517" s="527"/>
      <c r="AW517" s="527"/>
      <c r="AX517" s="528"/>
    </row>
    <row r="518" spans="1:50" x14ac:dyDescent="0.25">
      <c r="A518" s="533"/>
      <c r="B518" s="534"/>
      <c r="C518" s="534"/>
      <c r="D518" s="534"/>
      <c r="E518" s="534"/>
      <c r="F518" s="534"/>
      <c r="G518" s="534"/>
      <c r="H518" s="535" t="str">
        <f>IF(A518="","",LOOKUP(A518,BoonRef!$A$2:$A$430,BoonRef!$P$2:$P$430))</f>
        <v/>
      </c>
      <c r="I518" s="535"/>
      <c r="J518" s="529"/>
      <c r="K518" s="529"/>
      <c r="L518" s="529"/>
      <c r="M518" s="529"/>
      <c r="N518" s="529"/>
      <c r="O518" s="529"/>
      <c r="P518" s="529"/>
      <c r="Q518" s="529"/>
      <c r="R518" s="529"/>
      <c r="S518" s="529"/>
      <c r="T518" s="529"/>
      <c r="U518" s="529"/>
      <c r="V518" s="529"/>
      <c r="W518" s="529"/>
      <c r="X518" s="529"/>
      <c r="Y518" s="530"/>
      <c r="Z518" s="533"/>
      <c r="AA518" s="534"/>
      <c r="AB518" s="534"/>
      <c r="AC518" s="534"/>
      <c r="AD518" s="534"/>
      <c r="AE518" s="535" t="str">
        <f>IF(Z518="","",LOOKUP(Z518,KanckRef!$A$2:$A$170,KanckRef!$F$2:$F$170))</f>
        <v/>
      </c>
      <c r="AF518" s="535"/>
      <c r="AG518" s="529"/>
      <c r="AH518" s="529"/>
      <c r="AI518" s="529"/>
      <c r="AJ518" s="529"/>
      <c r="AK518" s="529"/>
      <c r="AL518" s="529"/>
      <c r="AM518" s="529"/>
      <c r="AN518" s="529"/>
      <c r="AO518" s="529"/>
      <c r="AP518" s="529"/>
      <c r="AQ518" s="529"/>
      <c r="AR518" s="529"/>
      <c r="AS518" s="529"/>
      <c r="AT518" s="529"/>
      <c r="AU518" s="529"/>
      <c r="AV518" s="529"/>
      <c r="AW518" s="529"/>
      <c r="AX518" s="530"/>
    </row>
    <row r="519" spans="1:50" x14ac:dyDescent="0.25">
      <c r="A519" s="533"/>
      <c r="B519" s="534"/>
      <c r="C519" s="534"/>
      <c r="D519" s="534"/>
      <c r="E519" s="534"/>
      <c r="F519" s="534"/>
      <c r="G519" s="534"/>
      <c r="H519" s="535" t="str">
        <f>IF(A518="","",LOOKUP(A518,BoonRef!$A$2:$A$430,BoonRef!$Q$2:$Q$430))</f>
        <v/>
      </c>
      <c r="I519" s="535"/>
      <c r="J519" s="529"/>
      <c r="K519" s="529"/>
      <c r="L519" s="529"/>
      <c r="M519" s="529"/>
      <c r="N519" s="529"/>
      <c r="O519" s="529"/>
      <c r="P519" s="529"/>
      <c r="Q519" s="529"/>
      <c r="R519" s="529"/>
      <c r="S519" s="529"/>
      <c r="T519" s="529"/>
      <c r="U519" s="529"/>
      <c r="V519" s="529"/>
      <c r="W519" s="529"/>
      <c r="X519" s="529"/>
      <c r="Y519" s="530"/>
      <c r="Z519" s="533"/>
      <c r="AA519" s="534"/>
      <c r="AB519" s="534"/>
      <c r="AC519" s="534"/>
      <c r="AD519" s="534"/>
      <c r="AE519" s="535"/>
      <c r="AF519" s="535"/>
      <c r="AG519" s="529"/>
      <c r="AH519" s="529"/>
      <c r="AI519" s="529"/>
      <c r="AJ519" s="529"/>
      <c r="AK519" s="529"/>
      <c r="AL519" s="529"/>
      <c r="AM519" s="529"/>
      <c r="AN519" s="529"/>
      <c r="AO519" s="529"/>
      <c r="AP519" s="529"/>
      <c r="AQ519" s="529"/>
      <c r="AR519" s="529"/>
      <c r="AS519" s="529"/>
      <c r="AT519" s="529"/>
      <c r="AU519" s="529"/>
      <c r="AV519" s="529"/>
      <c r="AW519" s="529"/>
      <c r="AX519" s="530"/>
    </row>
    <row r="520" spans="1:50" x14ac:dyDescent="0.25">
      <c r="A520" s="536" t="str">
        <f>IF(A518="","",LOOKUP(A518,BoonRef!$A$2:$A$430,BoonRef!$O$2:$O$430))</f>
        <v/>
      </c>
      <c r="B520" s="535"/>
      <c r="C520" s="535"/>
      <c r="D520" s="535"/>
      <c r="E520" s="535"/>
      <c r="F520" s="535"/>
      <c r="G520" s="535"/>
      <c r="H520" s="535"/>
      <c r="I520" s="535"/>
      <c r="J520" s="529"/>
      <c r="K520" s="529"/>
      <c r="L520" s="529"/>
      <c r="M520" s="529"/>
      <c r="N520" s="529"/>
      <c r="O520" s="529"/>
      <c r="P520" s="529"/>
      <c r="Q520" s="529"/>
      <c r="R520" s="529"/>
      <c r="S520" s="529"/>
      <c r="T520" s="529"/>
      <c r="U520" s="529"/>
      <c r="V520" s="529"/>
      <c r="W520" s="529"/>
      <c r="X520" s="529"/>
      <c r="Y520" s="530"/>
      <c r="Z520" s="536" t="str">
        <f>IF(Z518="","",LOOKUP(Z518,KanckRef!$A$2:$A$170,KanckRef!$D$2:$D$170))</f>
        <v/>
      </c>
      <c r="AA520" s="535"/>
      <c r="AB520" s="535"/>
      <c r="AC520" s="535"/>
      <c r="AD520" s="535"/>
      <c r="AE520" s="535"/>
      <c r="AF520" s="535"/>
      <c r="AG520" s="529"/>
      <c r="AH520" s="529"/>
      <c r="AI520" s="529"/>
      <c r="AJ520" s="529"/>
      <c r="AK520" s="529"/>
      <c r="AL520" s="529"/>
      <c r="AM520" s="529"/>
      <c r="AN520" s="529"/>
      <c r="AO520" s="529"/>
      <c r="AP520" s="529"/>
      <c r="AQ520" s="529"/>
      <c r="AR520" s="529"/>
      <c r="AS520" s="529"/>
      <c r="AT520" s="529"/>
      <c r="AU520" s="529"/>
      <c r="AV520" s="529"/>
      <c r="AW520" s="529"/>
      <c r="AX520" s="530"/>
    </row>
    <row r="521" spans="1:50" x14ac:dyDescent="0.25">
      <c r="A521" s="536" t="str">
        <f>IF(A518="","",LOOKUP(A518,BoonRef!$A$2:$A$430,BoonRef!$N$2:$N$430))</f>
        <v/>
      </c>
      <c r="B521" s="535"/>
      <c r="C521" s="535"/>
      <c r="D521" s="535"/>
      <c r="E521" s="535"/>
      <c r="F521" s="535"/>
      <c r="G521" s="535"/>
      <c r="H521" s="535"/>
      <c r="I521" s="535"/>
      <c r="J521" s="529"/>
      <c r="K521" s="529"/>
      <c r="L521" s="529"/>
      <c r="M521" s="529"/>
      <c r="N521" s="529"/>
      <c r="O521" s="529"/>
      <c r="P521" s="529"/>
      <c r="Q521" s="529"/>
      <c r="R521" s="529"/>
      <c r="S521" s="529"/>
      <c r="T521" s="529"/>
      <c r="U521" s="529"/>
      <c r="V521" s="529"/>
      <c r="W521" s="529"/>
      <c r="X521" s="529"/>
      <c r="Y521" s="530"/>
      <c r="Z521" s="536"/>
      <c r="AA521" s="535"/>
      <c r="AB521" s="535"/>
      <c r="AC521" s="535"/>
      <c r="AD521" s="535"/>
      <c r="AE521" s="535"/>
      <c r="AF521" s="535"/>
      <c r="AG521" s="529"/>
      <c r="AH521" s="529"/>
      <c r="AI521" s="529"/>
      <c r="AJ521" s="529"/>
      <c r="AK521" s="529"/>
      <c r="AL521" s="529"/>
      <c r="AM521" s="529"/>
      <c r="AN521" s="529"/>
      <c r="AO521" s="529"/>
      <c r="AP521" s="529"/>
      <c r="AQ521" s="529"/>
      <c r="AR521" s="529"/>
      <c r="AS521" s="529"/>
      <c r="AT521" s="529"/>
      <c r="AU521" s="529"/>
      <c r="AV521" s="529"/>
      <c r="AW521" s="529"/>
      <c r="AX521" s="530"/>
    </row>
    <row r="522" spans="1:50" ht="15.75" thickBot="1" x14ac:dyDescent="0.3">
      <c r="A522" s="537"/>
      <c r="B522" s="538"/>
      <c r="C522" s="538"/>
      <c r="D522" s="538"/>
      <c r="E522" s="538"/>
      <c r="F522" s="538"/>
      <c r="G522" s="538"/>
      <c r="H522" s="538"/>
      <c r="I522" s="538"/>
      <c r="J522" s="531"/>
      <c r="K522" s="531"/>
      <c r="L522" s="531"/>
      <c r="M522" s="531"/>
      <c r="N522" s="531"/>
      <c r="O522" s="531"/>
      <c r="P522" s="531"/>
      <c r="Q522" s="531"/>
      <c r="R522" s="531"/>
      <c r="S522" s="531"/>
      <c r="T522" s="531"/>
      <c r="U522" s="531"/>
      <c r="V522" s="531"/>
      <c r="W522" s="531"/>
      <c r="X522" s="531"/>
      <c r="Y522" s="532"/>
      <c r="Z522" s="537"/>
      <c r="AA522" s="538"/>
      <c r="AB522" s="538"/>
      <c r="AC522" s="538"/>
      <c r="AD522" s="538"/>
      <c r="AE522" s="538"/>
      <c r="AF522" s="538"/>
      <c r="AG522" s="531"/>
      <c r="AH522" s="531"/>
      <c r="AI522" s="531"/>
      <c r="AJ522" s="531"/>
      <c r="AK522" s="531"/>
      <c r="AL522" s="531"/>
      <c r="AM522" s="531"/>
      <c r="AN522" s="531"/>
      <c r="AO522" s="531"/>
      <c r="AP522" s="531"/>
      <c r="AQ522" s="531"/>
      <c r="AR522" s="531"/>
      <c r="AS522" s="531"/>
      <c r="AT522" s="531"/>
      <c r="AU522" s="531"/>
      <c r="AV522" s="531"/>
      <c r="AW522" s="531"/>
      <c r="AX522" s="532"/>
    </row>
    <row r="523" spans="1:50" x14ac:dyDescent="0.25">
      <c r="A523" s="524"/>
      <c r="B523" s="525"/>
      <c r="C523" s="525"/>
      <c r="D523" s="525"/>
      <c r="E523" s="525"/>
      <c r="F523" s="525"/>
      <c r="G523" s="525"/>
      <c r="H523" s="526" t="str">
        <f>IF(A524="","",LOOKUP(A524,BoonRef!$A$2:$A$430,BoonRef!$C$2:$C$430))</f>
        <v/>
      </c>
      <c r="I523" s="526"/>
      <c r="J523" s="527"/>
      <c r="K523" s="527"/>
      <c r="L523" s="527"/>
      <c r="M523" s="527"/>
      <c r="N523" s="527"/>
      <c r="O523" s="527"/>
      <c r="P523" s="527"/>
      <c r="Q523" s="527"/>
      <c r="R523" s="527"/>
      <c r="S523" s="527"/>
      <c r="T523" s="527"/>
      <c r="U523" s="527"/>
      <c r="V523" s="527"/>
      <c r="W523" s="527"/>
      <c r="X523" s="527"/>
      <c r="Y523" s="528"/>
      <c r="Z523" s="524"/>
      <c r="AA523" s="525"/>
      <c r="AB523" s="525"/>
      <c r="AC523" s="525"/>
      <c r="AD523" s="525"/>
      <c r="AE523" s="526" t="str">
        <f>IF(Z524="","",LOOKUP(Z524,KanckRef!$A$2:$A$170,KanckRef!$E$2:$E$170))</f>
        <v/>
      </c>
      <c r="AF523" s="526"/>
      <c r="AG523" s="527"/>
      <c r="AH523" s="527"/>
      <c r="AI523" s="527"/>
      <c r="AJ523" s="527"/>
      <c r="AK523" s="527"/>
      <c r="AL523" s="527"/>
      <c r="AM523" s="527"/>
      <c r="AN523" s="527"/>
      <c r="AO523" s="527"/>
      <c r="AP523" s="527"/>
      <c r="AQ523" s="527"/>
      <c r="AR523" s="527"/>
      <c r="AS523" s="527"/>
      <c r="AT523" s="527"/>
      <c r="AU523" s="527"/>
      <c r="AV523" s="527"/>
      <c r="AW523" s="527"/>
      <c r="AX523" s="528"/>
    </row>
    <row r="524" spans="1:50" x14ac:dyDescent="0.25">
      <c r="A524" s="533"/>
      <c r="B524" s="534"/>
      <c r="C524" s="534"/>
      <c r="D524" s="534"/>
      <c r="E524" s="534"/>
      <c r="F524" s="534"/>
      <c r="G524" s="534"/>
      <c r="H524" s="535" t="str">
        <f>IF(A524="","",LOOKUP(A524,BoonRef!$A$2:$A$430,BoonRef!$P$2:$P$430))</f>
        <v/>
      </c>
      <c r="I524" s="535"/>
      <c r="J524" s="529"/>
      <c r="K524" s="529"/>
      <c r="L524" s="529"/>
      <c r="M524" s="529"/>
      <c r="N524" s="529"/>
      <c r="O524" s="529"/>
      <c r="P524" s="529"/>
      <c r="Q524" s="529"/>
      <c r="R524" s="529"/>
      <c r="S524" s="529"/>
      <c r="T524" s="529"/>
      <c r="U524" s="529"/>
      <c r="V524" s="529"/>
      <c r="W524" s="529"/>
      <c r="X524" s="529"/>
      <c r="Y524" s="530"/>
      <c r="Z524" s="533"/>
      <c r="AA524" s="534"/>
      <c r="AB524" s="534"/>
      <c r="AC524" s="534"/>
      <c r="AD524" s="534"/>
      <c r="AE524" s="535" t="str">
        <f>IF(Z524="","",LOOKUP(Z524,KanckRef!$A$2:$A$170,KanckRef!$F$2:$F$170))</f>
        <v/>
      </c>
      <c r="AF524" s="535"/>
      <c r="AG524" s="529"/>
      <c r="AH524" s="529"/>
      <c r="AI524" s="529"/>
      <c r="AJ524" s="529"/>
      <c r="AK524" s="529"/>
      <c r="AL524" s="529"/>
      <c r="AM524" s="529"/>
      <c r="AN524" s="529"/>
      <c r="AO524" s="529"/>
      <c r="AP524" s="529"/>
      <c r="AQ524" s="529"/>
      <c r="AR524" s="529"/>
      <c r="AS524" s="529"/>
      <c r="AT524" s="529"/>
      <c r="AU524" s="529"/>
      <c r="AV524" s="529"/>
      <c r="AW524" s="529"/>
      <c r="AX524" s="530"/>
    </row>
    <row r="525" spans="1:50" x14ac:dyDescent="0.25">
      <c r="A525" s="533"/>
      <c r="B525" s="534"/>
      <c r="C525" s="534"/>
      <c r="D525" s="534"/>
      <c r="E525" s="534"/>
      <c r="F525" s="534"/>
      <c r="G525" s="534"/>
      <c r="H525" s="535" t="str">
        <f>IF(A524="","",LOOKUP(A524,BoonRef!$A$2:$A$430,BoonRef!$Q$2:$Q$430))</f>
        <v/>
      </c>
      <c r="I525" s="535"/>
      <c r="J525" s="529"/>
      <c r="K525" s="529"/>
      <c r="L525" s="529"/>
      <c r="M525" s="529"/>
      <c r="N525" s="529"/>
      <c r="O525" s="529"/>
      <c r="P525" s="529"/>
      <c r="Q525" s="529"/>
      <c r="R525" s="529"/>
      <c r="S525" s="529"/>
      <c r="T525" s="529"/>
      <c r="U525" s="529"/>
      <c r="V525" s="529"/>
      <c r="W525" s="529"/>
      <c r="X525" s="529"/>
      <c r="Y525" s="530"/>
      <c r="Z525" s="533"/>
      <c r="AA525" s="534"/>
      <c r="AB525" s="534"/>
      <c r="AC525" s="534"/>
      <c r="AD525" s="534"/>
      <c r="AE525" s="535"/>
      <c r="AF525" s="535"/>
      <c r="AG525" s="529"/>
      <c r="AH525" s="529"/>
      <c r="AI525" s="529"/>
      <c r="AJ525" s="529"/>
      <c r="AK525" s="529"/>
      <c r="AL525" s="529"/>
      <c r="AM525" s="529"/>
      <c r="AN525" s="529"/>
      <c r="AO525" s="529"/>
      <c r="AP525" s="529"/>
      <c r="AQ525" s="529"/>
      <c r="AR525" s="529"/>
      <c r="AS525" s="529"/>
      <c r="AT525" s="529"/>
      <c r="AU525" s="529"/>
      <c r="AV525" s="529"/>
      <c r="AW525" s="529"/>
      <c r="AX525" s="530"/>
    </row>
    <row r="526" spans="1:50" x14ac:dyDescent="0.25">
      <c r="A526" s="536" t="str">
        <f>IF(A524="","",LOOKUP(A524,BoonRef!$A$2:$A$430,BoonRef!$O$2:$O$430))</f>
        <v/>
      </c>
      <c r="B526" s="535"/>
      <c r="C526" s="535"/>
      <c r="D526" s="535"/>
      <c r="E526" s="535"/>
      <c r="F526" s="535"/>
      <c r="G526" s="535"/>
      <c r="H526" s="535"/>
      <c r="I526" s="535"/>
      <c r="J526" s="529"/>
      <c r="K526" s="529"/>
      <c r="L526" s="529"/>
      <c r="M526" s="529"/>
      <c r="N526" s="529"/>
      <c r="O526" s="529"/>
      <c r="P526" s="529"/>
      <c r="Q526" s="529"/>
      <c r="R526" s="529"/>
      <c r="S526" s="529"/>
      <c r="T526" s="529"/>
      <c r="U526" s="529"/>
      <c r="V526" s="529"/>
      <c r="W526" s="529"/>
      <c r="X526" s="529"/>
      <c r="Y526" s="530"/>
      <c r="Z526" s="536" t="str">
        <f>IF(Z524="","",LOOKUP(Z524,KanckRef!$A$2:$A$170,KanckRef!$D$2:$D$170))</f>
        <v/>
      </c>
      <c r="AA526" s="535"/>
      <c r="AB526" s="535"/>
      <c r="AC526" s="535"/>
      <c r="AD526" s="535"/>
      <c r="AE526" s="535"/>
      <c r="AF526" s="535"/>
      <c r="AG526" s="529"/>
      <c r="AH526" s="529"/>
      <c r="AI526" s="529"/>
      <c r="AJ526" s="529"/>
      <c r="AK526" s="529"/>
      <c r="AL526" s="529"/>
      <c r="AM526" s="529"/>
      <c r="AN526" s="529"/>
      <c r="AO526" s="529"/>
      <c r="AP526" s="529"/>
      <c r="AQ526" s="529"/>
      <c r="AR526" s="529"/>
      <c r="AS526" s="529"/>
      <c r="AT526" s="529"/>
      <c r="AU526" s="529"/>
      <c r="AV526" s="529"/>
      <c r="AW526" s="529"/>
      <c r="AX526" s="530"/>
    </row>
    <row r="527" spans="1:50" x14ac:dyDescent="0.25">
      <c r="A527" s="536" t="str">
        <f>IF(A524="","",LOOKUP(A524,BoonRef!$A$2:$A$430,BoonRef!$N$2:$N$430))</f>
        <v/>
      </c>
      <c r="B527" s="535"/>
      <c r="C527" s="535"/>
      <c r="D527" s="535"/>
      <c r="E527" s="535"/>
      <c r="F527" s="535"/>
      <c r="G527" s="535"/>
      <c r="H527" s="535"/>
      <c r="I527" s="535"/>
      <c r="J527" s="529"/>
      <c r="K527" s="529"/>
      <c r="L527" s="529"/>
      <c r="M527" s="529"/>
      <c r="N527" s="529"/>
      <c r="O527" s="529"/>
      <c r="P527" s="529"/>
      <c r="Q527" s="529"/>
      <c r="R527" s="529"/>
      <c r="S527" s="529"/>
      <c r="T527" s="529"/>
      <c r="U527" s="529"/>
      <c r="V527" s="529"/>
      <c r="W527" s="529"/>
      <c r="X527" s="529"/>
      <c r="Y527" s="530"/>
      <c r="Z527" s="536"/>
      <c r="AA527" s="535"/>
      <c r="AB527" s="535"/>
      <c r="AC527" s="535"/>
      <c r="AD527" s="535"/>
      <c r="AE527" s="535"/>
      <c r="AF527" s="535"/>
      <c r="AG527" s="529"/>
      <c r="AH527" s="529"/>
      <c r="AI527" s="529"/>
      <c r="AJ527" s="529"/>
      <c r="AK527" s="529"/>
      <c r="AL527" s="529"/>
      <c r="AM527" s="529"/>
      <c r="AN527" s="529"/>
      <c r="AO527" s="529"/>
      <c r="AP527" s="529"/>
      <c r="AQ527" s="529"/>
      <c r="AR527" s="529"/>
      <c r="AS527" s="529"/>
      <c r="AT527" s="529"/>
      <c r="AU527" s="529"/>
      <c r="AV527" s="529"/>
      <c r="AW527" s="529"/>
      <c r="AX527" s="530"/>
    </row>
    <row r="528" spans="1:50" ht="15.75" thickBot="1" x14ac:dyDescent="0.3">
      <c r="A528" s="537"/>
      <c r="B528" s="538"/>
      <c r="C528" s="538"/>
      <c r="D528" s="538"/>
      <c r="E528" s="538"/>
      <c r="F528" s="538"/>
      <c r="G528" s="538"/>
      <c r="H528" s="538"/>
      <c r="I528" s="538"/>
      <c r="J528" s="531"/>
      <c r="K528" s="531"/>
      <c r="L528" s="531"/>
      <c r="M528" s="531"/>
      <c r="N528" s="531"/>
      <c r="O528" s="531"/>
      <c r="P528" s="531"/>
      <c r="Q528" s="531"/>
      <c r="R528" s="531"/>
      <c r="S528" s="531"/>
      <c r="T528" s="531"/>
      <c r="U528" s="531"/>
      <c r="V528" s="531"/>
      <c r="W528" s="531"/>
      <c r="X528" s="531"/>
      <c r="Y528" s="532"/>
      <c r="Z528" s="537"/>
      <c r="AA528" s="538"/>
      <c r="AB528" s="538"/>
      <c r="AC528" s="538"/>
      <c r="AD528" s="538"/>
      <c r="AE528" s="538"/>
      <c r="AF528" s="538"/>
      <c r="AG528" s="531"/>
      <c r="AH528" s="531"/>
      <c r="AI528" s="531"/>
      <c r="AJ528" s="531"/>
      <c r="AK528" s="531"/>
      <c r="AL528" s="531"/>
      <c r="AM528" s="531"/>
      <c r="AN528" s="531"/>
      <c r="AO528" s="531"/>
      <c r="AP528" s="531"/>
      <c r="AQ528" s="531"/>
      <c r="AR528" s="531"/>
      <c r="AS528" s="531"/>
      <c r="AT528" s="531"/>
      <c r="AU528" s="531"/>
      <c r="AV528" s="531"/>
      <c r="AW528" s="531"/>
      <c r="AX528" s="532"/>
    </row>
    <row r="529" spans="1:50" x14ac:dyDescent="0.25">
      <c r="A529" s="524"/>
      <c r="B529" s="525"/>
      <c r="C529" s="525"/>
      <c r="D529" s="525"/>
      <c r="E529" s="525"/>
      <c r="F529" s="525"/>
      <c r="G529" s="525"/>
      <c r="H529" s="526" t="str">
        <f>IF(A530="","",LOOKUP(A530,BoonRef!$A$2:$A$430,BoonRef!$C$2:$C$430))</f>
        <v/>
      </c>
      <c r="I529" s="526"/>
      <c r="J529" s="527"/>
      <c r="K529" s="527"/>
      <c r="L529" s="527"/>
      <c r="M529" s="527"/>
      <c r="N529" s="527"/>
      <c r="O529" s="527"/>
      <c r="P529" s="527"/>
      <c r="Q529" s="527"/>
      <c r="R529" s="527"/>
      <c r="S529" s="527"/>
      <c r="T529" s="527"/>
      <c r="U529" s="527"/>
      <c r="V529" s="527"/>
      <c r="W529" s="527"/>
      <c r="X529" s="527"/>
      <c r="Y529" s="528"/>
      <c r="Z529" s="524"/>
      <c r="AA529" s="525"/>
      <c r="AB529" s="525"/>
      <c r="AC529" s="525"/>
      <c r="AD529" s="525"/>
      <c r="AE529" s="526" t="str">
        <f>IF(Z530="","",LOOKUP(Z530,KanckRef!$A$2:$A$170,KanckRef!$E$2:$E$170))</f>
        <v/>
      </c>
      <c r="AF529" s="526"/>
      <c r="AG529" s="527"/>
      <c r="AH529" s="527"/>
      <c r="AI529" s="527"/>
      <c r="AJ529" s="527"/>
      <c r="AK529" s="527"/>
      <c r="AL529" s="527"/>
      <c r="AM529" s="527"/>
      <c r="AN529" s="527"/>
      <c r="AO529" s="527"/>
      <c r="AP529" s="527"/>
      <c r="AQ529" s="527"/>
      <c r="AR529" s="527"/>
      <c r="AS529" s="527"/>
      <c r="AT529" s="527"/>
      <c r="AU529" s="527"/>
      <c r="AV529" s="527"/>
      <c r="AW529" s="527"/>
      <c r="AX529" s="528"/>
    </row>
    <row r="530" spans="1:50" x14ac:dyDescent="0.25">
      <c r="A530" s="533"/>
      <c r="B530" s="534"/>
      <c r="C530" s="534"/>
      <c r="D530" s="534"/>
      <c r="E530" s="534"/>
      <c r="F530" s="534"/>
      <c r="G530" s="534"/>
      <c r="H530" s="535" t="str">
        <f>IF(A530="","",LOOKUP(A530,BoonRef!$A$2:$A$430,BoonRef!$P$2:$P$430))</f>
        <v/>
      </c>
      <c r="I530" s="535"/>
      <c r="J530" s="529"/>
      <c r="K530" s="529"/>
      <c r="L530" s="529"/>
      <c r="M530" s="529"/>
      <c r="N530" s="529"/>
      <c r="O530" s="529"/>
      <c r="P530" s="529"/>
      <c r="Q530" s="529"/>
      <c r="R530" s="529"/>
      <c r="S530" s="529"/>
      <c r="T530" s="529"/>
      <c r="U530" s="529"/>
      <c r="V530" s="529"/>
      <c r="W530" s="529"/>
      <c r="X530" s="529"/>
      <c r="Y530" s="530"/>
      <c r="Z530" s="533"/>
      <c r="AA530" s="534"/>
      <c r="AB530" s="534"/>
      <c r="AC530" s="534"/>
      <c r="AD530" s="534"/>
      <c r="AE530" s="535" t="str">
        <f>IF(Z530="","",LOOKUP(Z530,KanckRef!$A$2:$A$170,KanckRef!$F$2:$F$170))</f>
        <v/>
      </c>
      <c r="AF530" s="535"/>
      <c r="AG530" s="529"/>
      <c r="AH530" s="529"/>
      <c r="AI530" s="529"/>
      <c r="AJ530" s="529"/>
      <c r="AK530" s="529"/>
      <c r="AL530" s="529"/>
      <c r="AM530" s="529"/>
      <c r="AN530" s="529"/>
      <c r="AO530" s="529"/>
      <c r="AP530" s="529"/>
      <c r="AQ530" s="529"/>
      <c r="AR530" s="529"/>
      <c r="AS530" s="529"/>
      <c r="AT530" s="529"/>
      <c r="AU530" s="529"/>
      <c r="AV530" s="529"/>
      <c r="AW530" s="529"/>
      <c r="AX530" s="530"/>
    </row>
    <row r="531" spans="1:50" x14ac:dyDescent="0.25">
      <c r="A531" s="533"/>
      <c r="B531" s="534"/>
      <c r="C531" s="534"/>
      <c r="D531" s="534"/>
      <c r="E531" s="534"/>
      <c r="F531" s="534"/>
      <c r="G531" s="534"/>
      <c r="H531" s="535" t="str">
        <f>IF(A530="","",LOOKUP(A530,BoonRef!$A$2:$A$430,BoonRef!$Q$2:$Q$430))</f>
        <v/>
      </c>
      <c r="I531" s="535"/>
      <c r="J531" s="529"/>
      <c r="K531" s="529"/>
      <c r="L531" s="529"/>
      <c r="M531" s="529"/>
      <c r="N531" s="529"/>
      <c r="O531" s="529"/>
      <c r="P531" s="529"/>
      <c r="Q531" s="529"/>
      <c r="R531" s="529"/>
      <c r="S531" s="529"/>
      <c r="T531" s="529"/>
      <c r="U531" s="529"/>
      <c r="V531" s="529"/>
      <c r="W531" s="529"/>
      <c r="X531" s="529"/>
      <c r="Y531" s="530"/>
      <c r="Z531" s="533"/>
      <c r="AA531" s="534"/>
      <c r="AB531" s="534"/>
      <c r="AC531" s="534"/>
      <c r="AD531" s="534"/>
      <c r="AE531" s="535"/>
      <c r="AF531" s="535"/>
      <c r="AG531" s="529"/>
      <c r="AH531" s="529"/>
      <c r="AI531" s="529"/>
      <c r="AJ531" s="529"/>
      <c r="AK531" s="529"/>
      <c r="AL531" s="529"/>
      <c r="AM531" s="529"/>
      <c r="AN531" s="529"/>
      <c r="AO531" s="529"/>
      <c r="AP531" s="529"/>
      <c r="AQ531" s="529"/>
      <c r="AR531" s="529"/>
      <c r="AS531" s="529"/>
      <c r="AT531" s="529"/>
      <c r="AU531" s="529"/>
      <c r="AV531" s="529"/>
      <c r="AW531" s="529"/>
      <c r="AX531" s="530"/>
    </row>
    <row r="532" spans="1:50" x14ac:dyDescent="0.25">
      <c r="A532" s="536" t="str">
        <f>IF(A530="","",LOOKUP(A530,BoonRef!$A$2:$A$430,BoonRef!$O$2:$O$430))</f>
        <v/>
      </c>
      <c r="B532" s="535"/>
      <c r="C532" s="535"/>
      <c r="D532" s="535"/>
      <c r="E532" s="535"/>
      <c r="F532" s="535"/>
      <c r="G532" s="535"/>
      <c r="H532" s="535"/>
      <c r="I532" s="535"/>
      <c r="J532" s="529"/>
      <c r="K532" s="529"/>
      <c r="L532" s="529"/>
      <c r="M532" s="529"/>
      <c r="N532" s="529"/>
      <c r="O532" s="529"/>
      <c r="P532" s="529"/>
      <c r="Q532" s="529"/>
      <c r="R532" s="529"/>
      <c r="S532" s="529"/>
      <c r="T532" s="529"/>
      <c r="U532" s="529"/>
      <c r="V532" s="529"/>
      <c r="W532" s="529"/>
      <c r="X532" s="529"/>
      <c r="Y532" s="530"/>
      <c r="Z532" s="536" t="str">
        <f>IF(Z530="","",LOOKUP(Z530,KanckRef!$A$2:$A$170,KanckRef!$D$2:$D$170))</f>
        <v/>
      </c>
      <c r="AA532" s="535"/>
      <c r="AB532" s="535"/>
      <c r="AC532" s="535"/>
      <c r="AD532" s="535"/>
      <c r="AE532" s="535"/>
      <c r="AF532" s="535"/>
      <c r="AG532" s="529"/>
      <c r="AH532" s="529"/>
      <c r="AI532" s="529"/>
      <c r="AJ532" s="529"/>
      <c r="AK532" s="529"/>
      <c r="AL532" s="529"/>
      <c r="AM532" s="529"/>
      <c r="AN532" s="529"/>
      <c r="AO532" s="529"/>
      <c r="AP532" s="529"/>
      <c r="AQ532" s="529"/>
      <c r="AR532" s="529"/>
      <c r="AS532" s="529"/>
      <c r="AT532" s="529"/>
      <c r="AU532" s="529"/>
      <c r="AV532" s="529"/>
      <c r="AW532" s="529"/>
      <c r="AX532" s="530"/>
    </row>
    <row r="533" spans="1:50" x14ac:dyDescent="0.25">
      <c r="A533" s="536" t="str">
        <f>IF(A530="","",LOOKUP(A530,BoonRef!$A$2:$A$430,BoonRef!$N$2:$N$430))</f>
        <v/>
      </c>
      <c r="B533" s="535"/>
      <c r="C533" s="535"/>
      <c r="D533" s="535"/>
      <c r="E533" s="535"/>
      <c r="F533" s="535"/>
      <c r="G533" s="535"/>
      <c r="H533" s="535"/>
      <c r="I533" s="535"/>
      <c r="J533" s="529"/>
      <c r="K533" s="529"/>
      <c r="L533" s="529"/>
      <c r="M533" s="529"/>
      <c r="N533" s="529"/>
      <c r="O533" s="529"/>
      <c r="P533" s="529"/>
      <c r="Q533" s="529"/>
      <c r="R533" s="529"/>
      <c r="S533" s="529"/>
      <c r="T533" s="529"/>
      <c r="U533" s="529"/>
      <c r="V533" s="529"/>
      <c r="W533" s="529"/>
      <c r="X533" s="529"/>
      <c r="Y533" s="530"/>
      <c r="Z533" s="536"/>
      <c r="AA533" s="535"/>
      <c r="AB533" s="535"/>
      <c r="AC533" s="535"/>
      <c r="AD533" s="535"/>
      <c r="AE533" s="535"/>
      <c r="AF533" s="535"/>
      <c r="AG533" s="529"/>
      <c r="AH533" s="529"/>
      <c r="AI533" s="529"/>
      <c r="AJ533" s="529"/>
      <c r="AK533" s="529"/>
      <c r="AL533" s="529"/>
      <c r="AM533" s="529"/>
      <c r="AN533" s="529"/>
      <c r="AO533" s="529"/>
      <c r="AP533" s="529"/>
      <c r="AQ533" s="529"/>
      <c r="AR533" s="529"/>
      <c r="AS533" s="529"/>
      <c r="AT533" s="529"/>
      <c r="AU533" s="529"/>
      <c r="AV533" s="529"/>
      <c r="AW533" s="529"/>
      <c r="AX533" s="530"/>
    </row>
    <row r="534" spans="1:50" ht="15.75" thickBot="1" x14ac:dyDescent="0.3">
      <c r="A534" s="537"/>
      <c r="B534" s="538"/>
      <c r="C534" s="538"/>
      <c r="D534" s="538"/>
      <c r="E534" s="538"/>
      <c r="F534" s="538"/>
      <c r="G534" s="538"/>
      <c r="H534" s="538"/>
      <c r="I534" s="538"/>
      <c r="J534" s="531"/>
      <c r="K534" s="531"/>
      <c r="L534" s="531"/>
      <c r="M534" s="531"/>
      <c r="N534" s="531"/>
      <c r="O534" s="531"/>
      <c r="P534" s="531"/>
      <c r="Q534" s="531"/>
      <c r="R534" s="531"/>
      <c r="S534" s="531"/>
      <c r="T534" s="531"/>
      <c r="U534" s="531"/>
      <c r="V534" s="531"/>
      <c r="W534" s="531"/>
      <c r="X534" s="531"/>
      <c r="Y534" s="532"/>
      <c r="Z534" s="537"/>
      <c r="AA534" s="538"/>
      <c r="AB534" s="538"/>
      <c r="AC534" s="538"/>
      <c r="AD534" s="538"/>
      <c r="AE534" s="538"/>
      <c r="AF534" s="538"/>
      <c r="AG534" s="531"/>
      <c r="AH534" s="531"/>
      <c r="AI534" s="531"/>
      <c r="AJ534" s="531"/>
      <c r="AK534" s="531"/>
      <c r="AL534" s="531"/>
      <c r="AM534" s="531"/>
      <c r="AN534" s="531"/>
      <c r="AO534" s="531"/>
      <c r="AP534" s="531"/>
      <c r="AQ534" s="531"/>
      <c r="AR534" s="531"/>
      <c r="AS534" s="531"/>
      <c r="AT534" s="531"/>
      <c r="AU534" s="531"/>
      <c r="AV534" s="531"/>
      <c r="AW534" s="531"/>
      <c r="AX534" s="532"/>
    </row>
    <row r="535" spans="1:50" x14ac:dyDescent="0.25">
      <c r="A535" s="524"/>
      <c r="B535" s="525"/>
      <c r="C535" s="525"/>
      <c r="D535" s="525"/>
      <c r="E535" s="525"/>
      <c r="F535" s="525"/>
      <c r="G535" s="525"/>
      <c r="H535" s="526" t="str">
        <f>IF(A536="","",LOOKUP(A536,BoonRef!$A$2:$A$430,BoonRef!$C$2:$C$430))</f>
        <v/>
      </c>
      <c r="I535" s="526"/>
      <c r="J535" s="527"/>
      <c r="K535" s="527"/>
      <c r="L535" s="527"/>
      <c r="M535" s="527"/>
      <c r="N535" s="527"/>
      <c r="O535" s="527"/>
      <c r="P535" s="527"/>
      <c r="Q535" s="527"/>
      <c r="R535" s="527"/>
      <c r="S535" s="527"/>
      <c r="T535" s="527"/>
      <c r="U535" s="527"/>
      <c r="V535" s="527"/>
      <c r="W535" s="527"/>
      <c r="X535" s="527"/>
      <c r="Y535" s="528"/>
      <c r="Z535" s="524"/>
      <c r="AA535" s="525"/>
      <c r="AB535" s="525"/>
      <c r="AC535" s="525"/>
      <c r="AD535" s="525"/>
      <c r="AE535" s="526" t="str">
        <f>IF(Z536="","",LOOKUP(Z536,KanckRef!$A$2:$A$170,KanckRef!$E$2:$E$170))</f>
        <v/>
      </c>
      <c r="AF535" s="526"/>
      <c r="AG535" s="527"/>
      <c r="AH535" s="527"/>
      <c r="AI535" s="527"/>
      <c r="AJ535" s="527"/>
      <c r="AK535" s="527"/>
      <c r="AL535" s="527"/>
      <c r="AM535" s="527"/>
      <c r="AN535" s="527"/>
      <c r="AO535" s="527"/>
      <c r="AP535" s="527"/>
      <c r="AQ535" s="527"/>
      <c r="AR535" s="527"/>
      <c r="AS535" s="527"/>
      <c r="AT535" s="527"/>
      <c r="AU535" s="527"/>
      <c r="AV535" s="527"/>
      <c r="AW535" s="527"/>
      <c r="AX535" s="528"/>
    </row>
    <row r="536" spans="1:50" x14ac:dyDescent="0.25">
      <c r="A536" s="533"/>
      <c r="B536" s="534"/>
      <c r="C536" s="534"/>
      <c r="D536" s="534"/>
      <c r="E536" s="534"/>
      <c r="F536" s="534"/>
      <c r="G536" s="534"/>
      <c r="H536" s="535" t="str">
        <f>IF(A536="","",LOOKUP(A536,BoonRef!$A$2:$A$430,BoonRef!$P$2:$P$430))</f>
        <v/>
      </c>
      <c r="I536" s="535"/>
      <c r="J536" s="529"/>
      <c r="K536" s="529"/>
      <c r="L536" s="529"/>
      <c r="M536" s="529"/>
      <c r="N536" s="529"/>
      <c r="O536" s="529"/>
      <c r="P536" s="529"/>
      <c r="Q536" s="529"/>
      <c r="R536" s="529"/>
      <c r="S536" s="529"/>
      <c r="T536" s="529"/>
      <c r="U536" s="529"/>
      <c r="V536" s="529"/>
      <c r="W536" s="529"/>
      <c r="X536" s="529"/>
      <c r="Y536" s="530"/>
      <c r="Z536" s="533"/>
      <c r="AA536" s="534"/>
      <c r="AB536" s="534"/>
      <c r="AC536" s="534"/>
      <c r="AD536" s="534"/>
      <c r="AE536" s="535" t="str">
        <f>IF(Z536="","",LOOKUP(Z536,KanckRef!$A$2:$A$170,KanckRef!$F$2:$F$170))</f>
        <v/>
      </c>
      <c r="AF536" s="535"/>
      <c r="AG536" s="529"/>
      <c r="AH536" s="529"/>
      <c r="AI536" s="529"/>
      <c r="AJ536" s="529"/>
      <c r="AK536" s="529"/>
      <c r="AL536" s="529"/>
      <c r="AM536" s="529"/>
      <c r="AN536" s="529"/>
      <c r="AO536" s="529"/>
      <c r="AP536" s="529"/>
      <c r="AQ536" s="529"/>
      <c r="AR536" s="529"/>
      <c r="AS536" s="529"/>
      <c r="AT536" s="529"/>
      <c r="AU536" s="529"/>
      <c r="AV536" s="529"/>
      <c r="AW536" s="529"/>
      <c r="AX536" s="530"/>
    </row>
    <row r="537" spans="1:50" x14ac:dyDescent="0.25">
      <c r="A537" s="533"/>
      <c r="B537" s="534"/>
      <c r="C537" s="534"/>
      <c r="D537" s="534"/>
      <c r="E537" s="534"/>
      <c r="F537" s="534"/>
      <c r="G537" s="534"/>
      <c r="H537" s="535" t="str">
        <f>IF(A536="","",LOOKUP(A536,BoonRef!$A$2:$A$430,BoonRef!$Q$2:$Q$430))</f>
        <v/>
      </c>
      <c r="I537" s="535"/>
      <c r="J537" s="529"/>
      <c r="K537" s="529"/>
      <c r="L537" s="529"/>
      <c r="M537" s="529"/>
      <c r="N537" s="529"/>
      <c r="O537" s="529"/>
      <c r="P537" s="529"/>
      <c r="Q537" s="529"/>
      <c r="R537" s="529"/>
      <c r="S537" s="529"/>
      <c r="T537" s="529"/>
      <c r="U537" s="529"/>
      <c r="V537" s="529"/>
      <c r="W537" s="529"/>
      <c r="X537" s="529"/>
      <c r="Y537" s="530"/>
      <c r="Z537" s="533"/>
      <c r="AA537" s="534"/>
      <c r="AB537" s="534"/>
      <c r="AC537" s="534"/>
      <c r="AD537" s="534"/>
      <c r="AE537" s="535"/>
      <c r="AF537" s="535"/>
      <c r="AG537" s="529"/>
      <c r="AH537" s="529"/>
      <c r="AI537" s="529"/>
      <c r="AJ537" s="529"/>
      <c r="AK537" s="529"/>
      <c r="AL537" s="529"/>
      <c r="AM537" s="529"/>
      <c r="AN537" s="529"/>
      <c r="AO537" s="529"/>
      <c r="AP537" s="529"/>
      <c r="AQ537" s="529"/>
      <c r="AR537" s="529"/>
      <c r="AS537" s="529"/>
      <c r="AT537" s="529"/>
      <c r="AU537" s="529"/>
      <c r="AV537" s="529"/>
      <c r="AW537" s="529"/>
      <c r="AX537" s="530"/>
    </row>
    <row r="538" spans="1:50" x14ac:dyDescent="0.25">
      <c r="A538" s="536" t="str">
        <f>IF(A536="","",LOOKUP(A536,BoonRef!$A$2:$A$430,BoonRef!$O$2:$O$430))</f>
        <v/>
      </c>
      <c r="B538" s="535"/>
      <c r="C538" s="535"/>
      <c r="D538" s="535"/>
      <c r="E538" s="535"/>
      <c r="F538" s="535"/>
      <c r="G538" s="535"/>
      <c r="H538" s="535"/>
      <c r="I538" s="535"/>
      <c r="J538" s="529"/>
      <c r="K538" s="529"/>
      <c r="L538" s="529"/>
      <c r="M538" s="529"/>
      <c r="N538" s="529"/>
      <c r="O538" s="529"/>
      <c r="P538" s="529"/>
      <c r="Q538" s="529"/>
      <c r="R538" s="529"/>
      <c r="S538" s="529"/>
      <c r="T538" s="529"/>
      <c r="U538" s="529"/>
      <c r="V538" s="529"/>
      <c r="W538" s="529"/>
      <c r="X538" s="529"/>
      <c r="Y538" s="530"/>
      <c r="Z538" s="536" t="str">
        <f>IF(Z536="","",LOOKUP(Z536,KanckRef!$A$2:$A$170,KanckRef!$D$2:$D$170))</f>
        <v/>
      </c>
      <c r="AA538" s="535"/>
      <c r="AB538" s="535"/>
      <c r="AC538" s="535"/>
      <c r="AD538" s="535"/>
      <c r="AE538" s="535"/>
      <c r="AF538" s="535"/>
      <c r="AG538" s="529"/>
      <c r="AH538" s="529"/>
      <c r="AI538" s="529"/>
      <c r="AJ538" s="529"/>
      <c r="AK538" s="529"/>
      <c r="AL538" s="529"/>
      <c r="AM538" s="529"/>
      <c r="AN538" s="529"/>
      <c r="AO538" s="529"/>
      <c r="AP538" s="529"/>
      <c r="AQ538" s="529"/>
      <c r="AR538" s="529"/>
      <c r="AS538" s="529"/>
      <c r="AT538" s="529"/>
      <c r="AU538" s="529"/>
      <c r="AV538" s="529"/>
      <c r="AW538" s="529"/>
      <c r="AX538" s="530"/>
    </row>
    <row r="539" spans="1:50" x14ac:dyDescent="0.25">
      <c r="A539" s="536" t="str">
        <f>IF(A536="","",LOOKUP(A536,BoonRef!$A$2:$A$430,BoonRef!$N$2:$N$430))</f>
        <v/>
      </c>
      <c r="B539" s="535"/>
      <c r="C539" s="535"/>
      <c r="D539" s="535"/>
      <c r="E539" s="535"/>
      <c r="F539" s="535"/>
      <c r="G539" s="535"/>
      <c r="H539" s="535"/>
      <c r="I539" s="535"/>
      <c r="J539" s="529"/>
      <c r="K539" s="529"/>
      <c r="L539" s="529"/>
      <c r="M539" s="529"/>
      <c r="N539" s="529"/>
      <c r="O539" s="529"/>
      <c r="P539" s="529"/>
      <c r="Q539" s="529"/>
      <c r="R539" s="529"/>
      <c r="S539" s="529"/>
      <c r="T539" s="529"/>
      <c r="U539" s="529"/>
      <c r="V539" s="529"/>
      <c r="W539" s="529"/>
      <c r="X539" s="529"/>
      <c r="Y539" s="530"/>
      <c r="Z539" s="536"/>
      <c r="AA539" s="535"/>
      <c r="AB539" s="535"/>
      <c r="AC539" s="535"/>
      <c r="AD539" s="535"/>
      <c r="AE539" s="535"/>
      <c r="AF539" s="535"/>
      <c r="AG539" s="529"/>
      <c r="AH539" s="529"/>
      <c r="AI539" s="529"/>
      <c r="AJ539" s="529"/>
      <c r="AK539" s="529"/>
      <c r="AL539" s="529"/>
      <c r="AM539" s="529"/>
      <c r="AN539" s="529"/>
      <c r="AO539" s="529"/>
      <c r="AP539" s="529"/>
      <c r="AQ539" s="529"/>
      <c r="AR539" s="529"/>
      <c r="AS539" s="529"/>
      <c r="AT539" s="529"/>
      <c r="AU539" s="529"/>
      <c r="AV539" s="529"/>
      <c r="AW539" s="529"/>
      <c r="AX539" s="530"/>
    </row>
    <row r="540" spans="1:50" ht="15.75" thickBot="1" x14ac:dyDescent="0.3">
      <c r="A540" s="537"/>
      <c r="B540" s="538"/>
      <c r="C540" s="538"/>
      <c r="D540" s="538"/>
      <c r="E540" s="538"/>
      <c r="F540" s="538"/>
      <c r="G540" s="538"/>
      <c r="H540" s="538"/>
      <c r="I540" s="538"/>
      <c r="J540" s="531"/>
      <c r="K540" s="531"/>
      <c r="L540" s="531"/>
      <c r="M540" s="531"/>
      <c r="N540" s="531"/>
      <c r="O540" s="531"/>
      <c r="P540" s="531"/>
      <c r="Q540" s="531"/>
      <c r="R540" s="531"/>
      <c r="S540" s="531"/>
      <c r="T540" s="531"/>
      <c r="U540" s="531"/>
      <c r="V540" s="531"/>
      <c r="W540" s="531"/>
      <c r="X540" s="531"/>
      <c r="Y540" s="532"/>
      <c r="Z540" s="537"/>
      <c r="AA540" s="538"/>
      <c r="AB540" s="538"/>
      <c r="AC540" s="538"/>
      <c r="AD540" s="538"/>
      <c r="AE540" s="538"/>
      <c r="AF540" s="538"/>
      <c r="AG540" s="531"/>
      <c r="AH540" s="531"/>
      <c r="AI540" s="531"/>
      <c r="AJ540" s="531"/>
      <c r="AK540" s="531"/>
      <c r="AL540" s="531"/>
      <c r="AM540" s="531"/>
      <c r="AN540" s="531"/>
      <c r="AO540" s="531"/>
      <c r="AP540" s="531"/>
      <c r="AQ540" s="531"/>
      <c r="AR540" s="531"/>
      <c r="AS540" s="531"/>
      <c r="AT540" s="531"/>
      <c r="AU540" s="531"/>
      <c r="AV540" s="531"/>
      <c r="AW540" s="531"/>
      <c r="AX540" s="532"/>
    </row>
    <row r="541" spans="1:50" x14ac:dyDescent="0.25">
      <c r="A541" s="524"/>
      <c r="B541" s="525"/>
      <c r="C541" s="525"/>
      <c r="D541" s="525"/>
      <c r="E541" s="525"/>
      <c r="F541" s="525"/>
      <c r="G541" s="525"/>
      <c r="H541" s="526" t="str">
        <f>IF(A542="","",LOOKUP(A542,BoonRef!$A$2:$A$430,BoonRef!$C$2:$C$430))</f>
        <v/>
      </c>
      <c r="I541" s="526"/>
      <c r="J541" s="527"/>
      <c r="K541" s="527"/>
      <c r="L541" s="527"/>
      <c r="M541" s="527"/>
      <c r="N541" s="527"/>
      <c r="O541" s="527"/>
      <c r="P541" s="527"/>
      <c r="Q541" s="527"/>
      <c r="R541" s="527"/>
      <c r="S541" s="527"/>
      <c r="T541" s="527"/>
      <c r="U541" s="527"/>
      <c r="V541" s="527"/>
      <c r="W541" s="527"/>
      <c r="X541" s="527"/>
      <c r="Y541" s="528"/>
      <c r="Z541" s="524"/>
      <c r="AA541" s="525"/>
      <c r="AB541" s="525"/>
      <c r="AC541" s="525"/>
      <c r="AD541" s="525"/>
      <c r="AE541" s="526" t="str">
        <f>IF(Z542="","",LOOKUP(Z542,KanckRef!$A$2:$A$170,KanckRef!$E$2:$E$170))</f>
        <v/>
      </c>
      <c r="AF541" s="526"/>
      <c r="AG541" s="527"/>
      <c r="AH541" s="527"/>
      <c r="AI541" s="527"/>
      <c r="AJ541" s="527"/>
      <c r="AK541" s="527"/>
      <c r="AL541" s="527"/>
      <c r="AM541" s="527"/>
      <c r="AN541" s="527"/>
      <c r="AO541" s="527"/>
      <c r="AP541" s="527"/>
      <c r="AQ541" s="527"/>
      <c r="AR541" s="527"/>
      <c r="AS541" s="527"/>
      <c r="AT541" s="527"/>
      <c r="AU541" s="527"/>
      <c r="AV541" s="527"/>
      <c r="AW541" s="527"/>
      <c r="AX541" s="528"/>
    </row>
    <row r="542" spans="1:50" x14ac:dyDescent="0.25">
      <c r="A542" s="533"/>
      <c r="B542" s="534"/>
      <c r="C542" s="534"/>
      <c r="D542" s="534"/>
      <c r="E542" s="534"/>
      <c r="F542" s="534"/>
      <c r="G542" s="534"/>
      <c r="H542" s="535" t="str">
        <f>IF(A542="","",LOOKUP(A542,BoonRef!$A$2:$A$430,BoonRef!$P$2:$P$430))</f>
        <v/>
      </c>
      <c r="I542" s="535"/>
      <c r="J542" s="529"/>
      <c r="K542" s="529"/>
      <c r="L542" s="529"/>
      <c r="M542" s="529"/>
      <c r="N542" s="529"/>
      <c r="O542" s="529"/>
      <c r="P542" s="529"/>
      <c r="Q542" s="529"/>
      <c r="R542" s="529"/>
      <c r="S542" s="529"/>
      <c r="T542" s="529"/>
      <c r="U542" s="529"/>
      <c r="V542" s="529"/>
      <c r="W542" s="529"/>
      <c r="X542" s="529"/>
      <c r="Y542" s="530"/>
      <c r="Z542" s="533"/>
      <c r="AA542" s="534"/>
      <c r="AB542" s="534"/>
      <c r="AC542" s="534"/>
      <c r="AD542" s="534"/>
      <c r="AE542" s="535" t="str">
        <f>IF(Z542="","",LOOKUP(Z542,KanckRef!$A$2:$A$170,KanckRef!$F$2:$F$170))</f>
        <v/>
      </c>
      <c r="AF542" s="535"/>
      <c r="AG542" s="529"/>
      <c r="AH542" s="529"/>
      <c r="AI542" s="529"/>
      <c r="AJ542" s="529"/>
      <c r="AK542" s="529"/>
      <c r="AL542" s="529"/>
      <c r="AM542" s="529"/>
      <c r="AN542" s="529"/>
      <c r="AO542" s="529"/>
      <c r="AP542" s="529"/>
      <c r="AQ542" s="529"/>
      <c r="AR542" s="529"/>
      <c r="AS542" s="529"/>
      <c r="AT542" s="529"/>
      <c r="AU542" s="529"/>
      <c r="AV542" s="529"/>
      <c r="AW542" s="529"/>
      <c r="AX542" s="530"/>
    </row>
    <row r="543" spans="1:50" x14ac:dyDescent="0.25">
      <c r="A543" s="533"/>
      <c r="B543" s="534"/>
      <c r="C543" s="534"/>
      <c r="D543" s="534"/>
      <c r="E543" s="534"/>
      <c r="F543" s="534"/>
      <c r="G543" s="534"/>
      <c r="H543" s="535" t="str">
        <f>IF(A542="","",LOOKUP(A542,BoonRef!$A$2:$A$430,BoonRef!$Q$2:$Q$430))</f>
        <v/>
      </c>
      <c r="I543" s="535"/>
      <c r="J543" s="529"/>
      <c r="K543" s="529"/>
      <c r="L543" s="529"/>
      <c r="M543" s="529"/>
      <c r="N543" s="529"/>
      <c r="O543" s="529"/>
      <c r="P543" s="529"/>
      <c r="Q543" s="529"/>
      <c r="R543" s="529"/>
      <c r="S543" s="529"/>
      <c r="T543" s="529"/>
      <c r="U543" s="529"/>
      <c r="V543" s="529"/>
      <c r="W543" s="529"/>
      <c r="X543" s="529"/>
      <c r="Y543" s="530"/>
      <c r="Z543" s="533"/>
      <c r="AA543" s="534"/>
      <c r="AB543" s="534"/>
      <c r="AC543" s="534"/>
      <c r="AD543" s="534"/>
      <c r="AE543" s="535"/>
      <c r="AF543" s="535"/>
      <c r="AG543" s="529"/>
      <c r="AH543" s="529"/>
      <c r="AI543" s="529"/>
      <c r="AJ543" s="529"/>
      <c r="AK543" s="529"/>
      <c r="AL543" s="529"/>
      <c r="AM543" s="529"/>
      <c r="AN543" s="529"/>
      <c r="AO543" s="529"/>
      <c r="AP543" s="529"/>
      <c r="AQ543" s="529"/>
      <c r="AR543" s="529"/>
      <c r="AS543" s="529"/>
      <c r="AT543" s="529"/>
      <c r="AU543" s="529"/>
      <c r="AV543" s="529"/>
      <c r="AW543" s="529"/>
      <c r="AX543" s="530"/>
    </row>
    <row r="544" spans="1:50" x14ac:dyDescent="0.25">
      <c r="A544" s="536" t="str">
        <f>IF(A542="","",LOOKUP(A542,BoonRef!$A$2:$A$430,BoonRef!$O$2:$O$430))</f>
        <v/>
      </c>
      <c r="B544" s="535"/>
      <c r="C544" s="535"/>
      <c r="D544" s="535"/>
      <c r="E544" s="535"/>
      <c r="F544" s="535"/>
      <c r="G544" s="535"/>
      <c r="H544" s="535"/>
      <c r="I544" s="535"/>
      <c r="J544" s="529"/>
      <c r="K544" s="529"/>
      <c r="L544" s="529"/>
      <c r="M544" s="529"/>
      <c r="N544" s="529"/>
      <c r="O544" s="529"/>
      <c r="P544" s="529"/>
      <c r="Q544" s="529"/>
      <c r="R544" s="529"/>
      <c r="S544" s="529"/>
      <c r="T544" s="529"/>
      <c r="U544" s="529"/>
      <c r="V544" s="529"/>
      <c r="W544" s="529"/>
      <c r="X544" s="529"/>
      <c r="Y544" s="530"/>
      <c r="Z544" s="536" t="str">
        <f>IF(Z542="","",LOOKUP(Z542,KanckRef!$A$2:$A$170,KanckRef!$D$2:$D$170))</f>
        <v/>
      </c>
      <c r="AA544" s="535"/>
      <c r="AB544" s="535"/>
      <c r="AC544" s="535"/>
      <c r="AD544" s="535"/>
      <c r="AE544" s="535"/>
      <c r="AF544" s="535"/>
      <c r="AG544" s="529"/>
      <c r="AH544" s="529"/>
      <c r="AI544" s="529"/>
      <c r="AJ544" s="529"/>
      <c r="AK544" s="529"/>
      <c r="AL544" s="529"/>
      <c r="AM544" s="529"/>
      <c r="AN544" s="529"/>
      <c r="AO544" s="529"/>
      <c r="AP544" s="529"/>
      <c r="AQ544" s="529"/>
      <c r="AR544" s="529"/>
      <c r="AS544" s="529"/>
      <c r="AT544" s="529"/>
      <c r="AU544" s="529"/>
      <c r="AV544" s="529"/>
      <c r="AW544" s="529"/>
      <c r="AX544" s="530"/>
    </row>
    <row r="545" spans="1:50" x14ac:dyDescent="0.25">
      <c r="A545" s="536" t="str">
        <f>IF(A542="","",LOOKUP(A542,BoonRef!$A$2:$A$430,BoonRef!$N$2:$N$430))</f>
        <v/>
      </c>
      <c r="B545" s="535"/>
      <c r="C545" s="535"/>
      <c r="D545" s="535"/>
      <c r="E545" s="535"/>
      <c r="F545" s="535"/>
      <c r="G545" s="535"/>
      <c r="H545" s="535"/>
      <c r="I545" s="535"/>
      <c r="J545" s="529"/>
      <c r="K545" s="529"/>
      <c r="L545" s="529"/>
      <c r="M545" s="529"/>
      <c r="N545" s="529"/>
      <c r="O545" s="529"/>
      <c r="P545" s="529"/>
      <c r="Q545" s="529"/>
      <c r="R545" s="529"/>
      <c r="S545" s="529"/>
      <c r="T545" s="529"/>
      <c r="U545" s="529"/>
      <c r="V545" s="529"/>
      <c r="W545" s="529"/>
      <c r="X545" s="529"/>
      <c r="Y545" s="530"/>
      <c r="Z545" s="536"/>
      <c r="AA545" s="535"/>
      <c r="AB545" s="535"/>
      <c r="AC545" s="535"/>
      <c r="AD545" s="535"/>
      <c r="AE545" s="535"/>
      <c r="AF545" s="535"/>
      <c r="AG545" s="529"/>
      <c r="AH545" s="529"/>
      <c r="AI545" s="529"/>
      <c r="AJ545" s="529"/>
      <c r="AK545" s="529"/>
      <c r="AL545" s="529"/>
      <c r="AM545" s="529"/>
      <c r="AN545" s="529"/>
      <c r="AO545" s="529"/>
      <c r="AP545" s="529"/>
      <c r="AQ545" s="529"/>
      <c r="AR545" s="529"/>
      <c r="AS545" s="529"/>
      <c r="AT545" s="529"/>
      <c r="AU545" s="529"/>
      <c r="AV545" s="529"/>
      <c r="AW545" s="529"/>
      <c r="AX545" s="530"/>
    </row>
    <row r="546" spans="1:50" ht="15.75" thickBot="1" x14ac:dyDescent="0.3">
      <c r="A546" s="537"/>
      <c r="B546" s="538"/>
      <c r="C546" s="538"/>
      <c r="D546" s="538"/>
      <c r="E546" s="538"/>
      <c r="F546" s="538"/>
      <c r="G546" s="538"/>
      <c r="H546" s="538"/>
      <c r="I546" s="538"/>
      <c r="J546" s="531"/>
      <c r="K546" s="531"/>
      <c r="L546" s="531"/>
      <c r="M546" s="531"/>
      <c r="N546" s="531"/>
      <c r="O546" s="531"/>
      <c r="P546" s="531"/>
      <c r="Q546" s="531"/>
      <c r="R546" s="531"/>
      <c r="S546" s="531"/>
      <c r="T546" s="531"/>
      <c r="U546" s="531"/>
      <c r="V546" s="531"/>
      <c r="W546" s="531"/>
      <c r="X546" s="531"/>
      <c r="Y546" s="532"/>
      <c r="Z546" s="537"/>
      <c r="AA546" s="538"/>
      <c r="AB546" s="538"/>
      <c r="AC546" s="538"/>
      <c r="AD546" s="538"/>
      <c r="AE546" s="538"/>
      <c r="AF546" s="538"/>
      <c r="AG546" s="531"/>
      <c r="AH546" s="531"/>
      <c r="AI546" s="531"/>
      <c r="AJ546" s="531"/>
      <c r="AK546" s="531"/>
      <c r="AL546" s="531"/>
      <c r="AM546" s="531"/>
      <c r="AN546" s="531"/>
      <c r="AO546" s="531"/>
      <c r="AP546" s="531"/>
      <c r="AQ546" s="531"/>
      <c r="AR546" s="531"/>
      <c r="AS546" s="531"/>
      <c r="AT546" s="531"/>
      <c r="AU546" s="531"/>
      <c r="AV546" s="531"/>
      <c r="AW546" s="531"/>
      <c r="AX546" s="532"/>
    </row>
    <row r="547" spans="1:50" x14ac:dyDescent="0.25">
      <c r="A547" s="524"/>
      <c r="B547" s="525"/>
      <c r="C547" s="525"/>
      <c r="D547" s="525"/>
      <c r="E547" s="525"/>
      <c r="F547" s="525"/>
      <c r="G547" s="525"/>
      <c r="H547" s="526" t="str">
        <f>IF(A548="","",LOOKUP(A548,BoonRef!$A$2:$A$430,BoonRef!$C$2:$C$430))</f>
        <v/>
      </c>
      <c r="I547" s="526"/>
      <c r="J547" s="527"/>
      <c r="K547" s="527"/>
      <c r="L547" s="527"/>
      <c r="M547" s="527"/>
      <c r="N547" s="527"/>
      <c r="O547" s="527"/>
      <c r="P547" s="527"/>
      <c r="Q547" s="527"/>
      <c r="R547" s="527"/>
      <c r="S547" s="527"/>
      <c r="T547" s="527"/>
      <c r="U547" s="527"/>
      <c r="V547" s="527"/>
      <c r="W547" s="527"/>
      <c r="X547" s="527"/>
      <c r="Y547" s="528"/>
      <c r="Z547" s="524"/>
      <c r="AA547" s="525"/>
      <c r="AB547" s="525"/>
      <c r="AC547" s="525"/>
      <c r="AD547" s="525"/>
      <c r="AE547" s="526" t="str">
        <f>IF(Z548="","",LOOKUP(Z548,KanckRef!$A$2:$A$170,KanckRef!$E$2:$E$170))</f>
        <v/>
      </c>
      <c r="AF547" s="526"/>
      <c r="AG547" s="527"/>
      <c r="AH547" s="527"/>
      <c r="AI547" s="527"/>
      <c r="AJ547" s="527"/>
      <c r="AK547" s="527"/>
      <c r="AL547" s="527"/>
      <c r="AM547" s="527"/>
      <c r="AN547" s="527"/>
      <c r="AO547" s="527"/>
      <c r="AP547" s="527"/>
      <c r="AQ547" s="527"/>
      <c r="AR547" s="527"/>
      <c r="AS547" s="527"/>
      <c r="AT547" s="527"/>
      <c r="AU547" s="527"/>
      <c r="AV547" s="527"/>
      <c r="AW547" s="527"/>
      <c r="AX547" s="528"/>
    </row>
    <row r="548" spans="1:50" x14ac:dyDescent="0.25">
      <c r="A548" s="533"/>
      <c r="B548" s="534"/>
      <c r="C548" s="534"/>
      <c r="D548" s="534"/>
      <c r="E548" s="534"/>
      <c r="F548" s="534"/>
      <c r="G548" s="534"/>
      <c r="H548" s="535" t="str">
        <f>IF(A548="","",LOOKUP(A548,BoonRef!$A$2:$A$430,BoonRef!$P$2:$P$430))</f>
        <v/>
      </c>
      <c r="I548" s="535"/>
      <c r="J548" s="529"/>
      <c r="K548" s="529"/>
      <c r="L548" s="529"/>
      <c r="M548" s="529"/>
      <c r="N548" s="529"/>
      <c r="O548" s="529"/>
      <c r="P548" s="529"/>
      <c r="Q548" s="529"/>
      <c r="R548" s="529"/>
      <c r="S548" s="529"/>
      <c r="T548" s="529"/>
      <c r="U548" s="529"/>
      <c r="V548" s="529"/>
      <c r="W548" s="529"/>
      <c r="X548" s="529"/>
      <c r="Y548" s="530"/>
      <c r="Z548" s="533"/>
      <c r="AA548" s="534"/>
      <c r="AB548" s="534"/>
      <c r="AC548" s="534"/>
      <c r="AD548" s="534"/>
      <c r="AE548" s="535" t="str">
        <f>IF(Z548="","",LOOKUP(Z548,KanckRef!$A$2:$A$170,KanckRef!$F$2:$F$170))</f>
        <v/>
      </c>
      <c r="AF548" s="535"/>
      <c r="AG548" s="529"/>
      <c r="AH548" s="529"/>
      <c r="AI548" s="529"/>
      <c r="AJ548" s="529"/>
      <c r="AK548" s="529"/>
      <c r="AL548" s="529"/>
      <c r="AM548" s="529"/>
      <c r="AN548" s="529"/>
      <c r="AO548" s="529"/>
      <c r="AP548" s="529"/>
      <c r="AQ548" s="529"/>
      <c r="AR548" s="529"/>
      <c r="AS548" s="529"/>
      <c r="AT548" s="529"/>
      <c r="AU548" s="529"/>
      <c r="AV548" s="529"/>
      <c r="AW548" s="529"/>
      <c r="AX548" s="530"/>
    </row>
    <row r="549" spans="1:50" x14ac:dyDescent="0.25">
      <c r="A549" s="533"/>
      <c r="B549" s="534"/>
      <c r="C549" s="534"/>
      <c r="D549" s="534"/>
      <c r="E549" s="534"/>
      <c r="F549" s="534"/>
      <c r="G549" s="534"/>
      <c r="H549" s="535" t="str">
        <f>IF(A548="","",LOOKUP(A548,BoonRef!$A$2:$A$430,BoonRef!$Q$2:$Q$430))</f>
        <v/>
      </c>
      <c r="I549" s="535"/>
      <c r="J549" s="529"/>
      <c r="K549" s="529"/>
      <c r="L549" s="529"/>
      <c r="M549" s="529"/>
      <c r="N549" s="529"/>
      <c r="O549" s="529"/>
      <c r="P549" s="529"/>
      <c r="Q549" s="529"/>
      <c r="R549" s="529"/>
      <c r="S549" s="529"/>
      <c r="T549" s="529"/>
      <c r="U549" s="529"/>
      <c r="V549" s="529"/>
      <c r="W549" s="529"/>
      <c r="X549" s="529"/>
      <c r="Y549" s="530"/>
      <c r="Z549" s="533"/>
      <c r="AA549" s="534"/>
      <c r="AB549" s="534"/>
      <c r="AC549" s="534"/>
      <c r="AD549" s="534"/>
      <c r="AE549" s="535"/>
      <c r="AF549" s="535"/>
      <c r="AG549" s="529"/>
      <c r="AH549" s="529"/>
      <c r="AI549" s="529"/>
      <c r="AJ549" s="529"/>
      <c r="AK549" s="529"/>
      <c r="AL549" s="529"/>
      <c r="AM549" s="529"/>
      <c r="AN549" s="529"/>
      <c r="AO549" s="529"/>
      <c r="AP549" s="529"/>
      <c r="AQ549" s="529"/>
      <c r="AR549" s="529"/>
      <c r="AS549" s="529"/>
      <c r="AT549" s="529"/>
      <c r="AU549" s="529"/>
      <c r="AV549" s="529"/>
      <c r="AW549" s="529"/>
      <c r="AX549" s="530"/>
    </row>
    <row r="550" spans="1:50" x14ac:dyDescent="0.25">
      <c r="A550" s="536" t="str">
        <f>IF(A548="","",LOOKUP(A548,BoonRef!$A$2:$A$430,BoonRef!$O$2:$O$430))</f>
        <v/>
      </c>
      <c r="B550" s="535"/>
      <c r="C550" s="535"/>
      <c r="D550" s="535"/>
      <c r="E550" s="535"/>
      <c r="F550" s="535"/>
      <c r="G550" s="535"/>
      <c r="H550" s="535"/>
      <c r="I550" s="535"/>
      <c r="J550" s="529"/>
      <c r="K550" s="529"/>
      <c r="L550" s="529"/>
      <c r="M550" s="529"/>
      <c r="N550" s="529"/>
      <c r="O550" s="529"/>
      <c r="P550" s="529"/>
      <c r="Q550" s="529"/>
      <c r="R550" s="529"/>
      <c r="S550" s="529"/>
      <c r="T550" s="529"/>
      <c r="U550" s="529"/>
      <c r="V550" s="529"/>
      <c r="W550" s="529"/>
      <c r="X550" s="529"/>
      <c r="Y550" s="530"/>
      <c r="Z550" s="536" t="str">
        <f>IF(Z548="","",LOOKUP(Z548,KanckRef!$A$2:$A$170,KanckRef!$D$2:$D$170))</f>
        <v/>
      </c>
      <c r="AA550" s="535"/>
      <c r="AB550" s="535"/>
      <c r="AC550" s="535"/>
      <c r="AD550" s="535"/>
      <c r="AE550" s="535"/>
      <c r="AF550" s="535"/>
      <c r="AG550" s="529"/>
      <c r="AH550" s="529"/>
      <c r="AI550" s="529"/>
      <c r="AJ550" s="529"/>
      <c r="AK550" s="529"/>
      <c r="AL550" s="529"/>
      <c r="AM550" s="529"/>
      <c r="AN550" s="529"/>
      <c r="AO550" s="529"/>
      <c r="AP550" s="529"/>
      <c r="AQ550" s="529"/>
      <c r="AR550" s="529"/>
      <c r="AS550" s="529"/>
      <c r="AT550" s="529"/>
      <c r="AU550" s="529"/>
      <c r="AV550" s="529"/>
      <c r="AW550" s="529"/>
      <c r="AX550" s="530"/>
    </row>
    <row r="551" spans="1:50" x14ac:dyDescent="0.25">
      <c r="A551" s="536" t="str">
        <f>IF(A548="","",LOOKUP(A548,BoonRef!$A$2:$A$430,BoonRef!$N$2:$N$430))</f>
        <v/>
      </c>
      <c r="B551" s="535"/>
      <c r="C551" s="535"/>
      <c r="D551" s="535"/>
      <c r="E551" s="535"/>
      <c r="F551" s="535"/>
      <c r="G551" s="535"/>
      <c r="H551" s="535"/>
      <c r="I551" s="535"/>
      <c r="J551" s="529"/>
      <c r="K551" s="529"/>
      <c r="L551" s="529"/>
      <c r="M551" s="529"/>
      <c r="N551" s="529"/>
      <c r="O551" s="529"/>
      <c r="P551" s="529"/>
      <c r="Q551" s="529"/>
      <c r="R551" s="529"/>
      <c r="S551" s="529"/>
      <c r="T551" s="529"/>
      <c r="U551" s="529"/>
      <c r="V551" s="529"/>
      <c r="W551" s="529"/>
      <c r="X551" s="529"/>
      <c r="Y551" s="530"/>
      <c r="Z551" s="536"/>
      <c r="AA551" s="535"/>
      <c r="AB551" s="535"/>
      <c r="AC551" s="535"/>
      <c r="AD551" s="535"/>
      <c r="AE551" s="535"/>
      <c r="AF551" s="535"/>
      <c r="AG551" s="529"/>
      <c r="AH551" s="529"/>
      <c r="AI551" s="529"/>
      <c r="AJ551" s="529"/>
      <c r="AK551" s="529"/>
      <c r="AL551" s="529"/>
      <c r="AM551" s="529"/>
      <c r="AN551" s="529"/>
      <c r="AO551" s="529"/>
      <c r="AP551" s="529"/>
      <c r="AQ551" s="529"/>
      <c r="AR551" s="529"/>
      <c r="AS551" s="529"/>
      <c r="AT551" s="529"/>
      <c r="AU551" s="529"/>
      <c r="AV551" s="529"/>
      <c r="AW551" s="529"/>
      <c r="AX551" s="530"/>
    </row>
    <row r="552" spans="1:50" ht="15.75" thickBot="1" x14ac:dyDescent="0.3">
      <c r="A552" s="537"/>
      <c r="B552" s="538"/>
      <c r="C552" s="538"/>
      <c r="D552" s="538"/>
      <c r="E552" s="538"/>
      <c r="F552" s="538"/>
      <c r="G552" s="538"/>
      <c r="H552" s="538"/>
      <c r="I552" s="538"/>
      <c r="J552" s="531"/>
      <c r="K552" s="531"/>
      <c r="L552" s="531"/>
      <c r="M552" s="531"/>
      <c r="N552" s="531"/>
      <c r="O552" s="531"/>
      <c r="P552" s="531"/>
      <c r="Q552" s="531"/>
      <c r="R552" s="531"/>
      <c r="S552" s="531"/>
      <c r="T552" s="531"/>
      <c r="U552" s="531"/>
      <c r="V552" s="531"/>
      <c r="W552" s="531"/>
      <c r="X552" s="531"/>
      <c r="Y552" s="532"/>
      <c r="Z552" s="537"/>
      <c r="AA552" s="538"/>
      <c r="AB552" s="538"/>
      <c r="AC552" s="538"/>
      <c r="AD552" s="538"/>
      <c r="AE552" s="538"/>
      <c r="AF552" s="538"/>
      <c r="AG552" s="531"/>
      <c r="AH552" s="531"/>
      <c r="AI552" s="531"/>
      <c r="AJ552" s="531"/>
      <c r="AK552" s="531"/>
      <c r="AL552" s="531"/>
      <c r="AM552" s="531"/>
      <c r="AN552" s="531"/>
      <c r="AO552" s="531"/>
      <c r="AP552" s="531"/>
      <c r="AQ552" s="531"/>
      <c r="AR552" s="531"/>
      <c r="AS552" s="531"/>
      <c r="AT552" s="531"/>
      <c r="AU552" s="531"/>
      <c r="AV552" s="531"/>
      <c r="AW552" s="531"/>
      <c r="AX552" s="532"/>
    </row>
    <row r="553" spans="1:50" x14ac:dyDescent="0.25">
      <c r="A553" s="524"/>
      <c r="B553" s="525"/>
      <c r="C553" s="525"/>
      <c r="D553" s="525"/>
      <c r="E553" s="525"/>
      <c r="F553" s="525"/>
      <c r="G553" s="525"/>
      <c r="H553" s="526" t="str">
        <f>IF(A554="","",LOOKUP(A554,BoonRef!$A$2:$A$430,BoonRef!$C$2:$C$430))</f>
        <v/>
      </c>
      <c r="I553" s="526"/>
      <c r="J553" s="527"/>
      <c r="K553" s="527"/>
      <c r="L553" s="527"/>
      <c r="M553" s="527"/>
      <c r="N553" s="527"/>
      <c r="O553" s="527"/>
      <c r="P553" s="527"/>
      <c r="Q553" s="527"/>
      <c r="R553" s="527"/>
      <c r="S553" s="527"/>
      <c r="T553" s="527"/>
      <c r="U553" s="527"/>
      <c r="V553" s="527"/>
      <c r="W553" s="527"/>
      <c r="X553" s="527"/>
      <c r="Y553" s="528"/>
      <c r="Z553" s="524"/>
      <c r="AA553" s="525"/>
      <c r="AB553" s="525"/>
      <c r="AC553" s="525"/>
      <c r="AD553" s="525"/>
      <c r="AE553" s="526" t="str">
        <f>IF(Z554="","",LOOKUP(Z554,KanckRef!$A$2:$A$170,KanckRef!$E$2:$E$170))</f>
        <v/>
      </c>
      <c r="AF553" s="526"/>
      <c r="AG553" s="527"/>
      <c r="AH553" s="527"/>
      <c r="AI553" s="527"/>
      <c r="AJ553" s="527"/>
      <c r="AK553" s="527"/>
      <c r="AL553" s="527"/>
      <c r="AM553" s="527"/>
      <c r="AN553" s="527"/>
      <c r="AO553" s="527"/>
      <c r="AP553" s="527"/>
      <c r="AQ553" s="527"/>
      <c r="AR553" s="527"/>
      <c r="AS553" s="527"/>
      <c r="AT553" s="527"/>
      <c r="AU553" s="527"/>
      <c r="AV553" s="527"/>
      <c r="AW553" s="527"/>
      <c r="AX553" s="528"/>
    </row>
    <row r="554" spans="1:50" x14ac:dyDescent="0.25">
      <c r="A554" s="533"/>
      <c r="B554" s="534"/>
      <c r="C554" s="534"/>
      <c r="D554" s="534"/>
      <c r="E554" s="534"/>
      <c r="F554" s="534"/>
      <c r="G554" s="534"/>
      <c r="H554" s="535" t="str">
        <f>IF(A554="","",LOOKUP(A554,BoonRef!$A$2:$A$430,BoonRef!$P$2:$P$430))</f>
        <v/>
      </c>
      <c r="I554" s="535"/>
      <c r="J554" s="529"/>
      <c r="K554" s="529"/>
      <c r="L554" s="529"/>
      <c r="M554" s="529"/>
      <c r="N554" s="529"/>
      <c r="O554" s="529"/>
      <c r="P554" s="529"/>
      <c r="Q554" s="529"/>
      <c r="R554" s="529"/>
      <c r="S554" s="529"/>
      <c r="T554" s="529"/>
      <c r="U554" s="529"/>
      <c r="V554" s="529"/>
      <c r="W554" s="529"/>
      <c r="X554" s="529"/>
      <c r="Y554" s="530"/>
      <c r="Z554" s="533"/>
      <c r="AA554" s="534"/>
      <c r="AB554" s="534"/>
      <c r="AC554" s="534"/>
      <c r="AD554" s="534"/>
      <c r="AE554" s="535" t="str">
        <f>IF(Z554="","",LOOKUP(Z554,KanckRef!$A$2:$A$170,KanckRef!$F$2:$F$170))</f>
        <v/>
      </c>
      <c r="AF554" s="535"/>
      <c r="AG554" s="529"/>
      <c r="AH554" s="529"/>
      <c r="AI554" s="529"/>
      <c r="AJ554" s="529"/>
      <c r="AK554" s="529"/>
      <c r="AL554" s="529"/>
      <c r="AM554" s="529"/>
      <c r="AN554" s="529"/>
      <c r="AO554" s="529"/>
      <c r="AP554" s="529"/>
      <c r="AQ554" s="529"/>
      <c r="AR554" s="529"/>
      <c r="AS554" s="529"/>
      <c r="AT554" s="529"/>
      <c r="AU554" s="529"/>
      <c r="AV554" s="529"/>
      <c r="AW554" s="529"/>
      <c r="AX554" s="530"/>
    </row>
    <row r="555" spans="1:50" x14ac:dyDescent="0.25">
      <c r="A555" s="533"/>
      <c r="B555" s="534"/>
      <c r="C555" s="534"/>
      <c r="D555" s="534"/>
      <c r="E555" s="534"/>
      <c r="F555" s="534"/>
      <c r="G555" s="534"/>
      <c r="H555" s="535" t="str">
        <f>IF(A554="","",LOOKUP(A554,BoonRef!$A$2:$A$430,BoonRef!$Q$2:$Q$430))</f>
        <v/>
      </c>
      <c r="I555" s="535"/>
      <c r="J555" s="529"/>
      <c r="K555" s="529"/>
      <c r="L555" s="529"/>
      <c r="M555" s="529"/>
      <c r="N555" s="529"/>
      <c r="O555" s="529"/>
      <c r="P555" s="529"/>
      <c r="Q555" s="529"/>
      <c r="R555" s="529"/>
      <c r="S555" s="529"/>
      <c r="T555" s="529"/>
      <c r="U555" s="529"/>
      <c r="V555" s="529"/>
      <c r="W555" s="529"/>
      <c r="X555" s="529"/>
      <c r="Y555" s="530"/>
      <c r="Z555" s="533"/>
      <c r="AA555" s="534"/>
      <c r="AB555" s="534"/>
      <c r="AC555" s="534"/>
      <c r="AD555" s="534"/>
      <c r="AE555" s="535"/>
      <c r="AF555" s="535"/>
      <c r="AG555" s="529"/>
      <c r="AH555" s="529"/>
      <c r="AI555" s="529"/>
      <c r="AJ555" s="529"/>
      <c r="AK555" s="529"/>
      <c r="AL555" s="529"/>
      <c r="AM555" s="529"/>
      <c r="AN555" s="529"/>
      <c r="AO555" s="529"/>
      <c r="AP555" s="529"/>
      <c r="AQ555" s="529"/>
      <c r="AR555" s="529"/>
      <c r="AS555" s="529"/>
      <c r="AT555" s="529"/>
      <c r="AU555" s="529"/>
      <c r="AV555" s="529"/>
      <c r="AW555" s="529"/>
      <c r="AX555" s="530"/>
    </row>
    <row r="556" spans="1:50" x14ac:dyDescent="0.25">
      <c r="A556" s="536" t="str">
        <f>IF(A554="","",LOOKUP(A554,BoonRef!$A$2:$A$430,BoonRef!$O$2:$O$430))</f>
        <v/>
      </c>
      <c r="B556" s="535"/>
      <c r="C556" s="535"/>
      <c r="D556" s="535"/>
      <c r="E556" s="535"/>
      <c r="F556" s="535"/>
      <c r="G556" s="535"/>
      <c r="H556" s="535"/>
      <c r="I556" s="535"/>
      <c r="J556" s="529"/>
      <c r="K556" s="529"/>
      <c r="L556" s="529"/>
      <c r="M556" s="529"/>
      <c r="N556" s="529"/>
      <c r="O556" s="529"/>
      <c r="P556" s="529"/>
      <c r="Q556" s="529"/>
      <c r="R556" s="529"/>
      <c r="S556" s="529"/>
      <c r="T556" s="529"/>
      <c r="U556" s="529"/>
      <c r="V556" s="529"/>
      <c r="W556" s="529"/>
      <c r="X556" s="529"/>
      <c r="Y556" s="530"/>
      <c r="Z556" s="536" t="str">
        <f>IF(Z554="","",LOOKUP(Z554,KanckRef!$A$2:$A$170,KanckRef!$D$2:$D$170))</f>
        <v/>
      </c>
      <c r="AA556" s="535"/>
      <c r="AB556" s="535"/>
      <c r="AC556" s="535"/>
      <c r="AD556" s="535"/>
      <c r="AE556" s="535"/>
      <c r="AF556" s="535"/>
      <c r="AG556" s="529"/>
      <c r="AH556" s="529"/>
      <c r="AI556" s="529"/>
      <c r="AJ556" s="529"/>
      <c r="AK556" s="529"/>
      <c r="AL556" s="529"/>
      <c r="AM556" s="529"/>
      <c r="AN556" s="529"/>
      <c r="AO556" s="529"/>
      <c r="AP556" s="529"/>
      <c r="AQ556" s="529"/>
      <c r="AR556" s="529"/>
      <c r="AS556" s="529"/>
      <c r="AT556" s="529"/>
      <c r="AU556" s="529"/>
      <c r="AV556" s="529"/>
      <c r="AW556" s="529"/>
      <c r="AX556" s="530"/>
    </row>
    <row r="557" spans="1:50" x14ac:dyDescent="0.25">
      <c r="A557" s="536" t="str">
        <f>IF(A554="","",LOOKUP(A554,BoonRef!$A$2:$A$430,BoonRef!$N$2:$N$430))</f>
        <v/>
      </c>
      <c r="B557" s="535"/>
      <c r="C557" s="535"/>
      <c r="D557" s="535"/>
      <c r="E557" s="535"/>
      <c r="F557" s="535"/>
      <c r="G557" s="535"/>
      <c r="H557" s="535"/>
      <c r="I557" s="535"/>
      <c r="J557" s="529"/>
      <c r="K557" s="529"/>
      <c r="L557" s="529"/>
      <c r="M557" s="529"/>
      <c r="N557" s="529"/>
      <c r="O557" s="529"/>
      <c r="P557" s="529"/>
      <c r="Q557" s="529"/>
      <c r="R557" s="529"/>
      <c r="S557" s="529"/>
      <c r="T557" s="529"/>
      <c r="U557" s="529"/>
      <c r="V557" s="529"/>
      <c r="W557" s="529"/>
      <c r="X557" s="529"/>
      <c r="Y557" s="530"/>
      <c r="Z557" s="536"/>
      <c r="AA557" s="535"/>
      <c r="AB557" s="535"/>
      <c r="AC557" s="535"/>
      <c r="AD557" s="535"/>
      <c r="AE557" s="535"/>
      <c r="AF557" s="535"/>
      <c r="AG557" s="529"/>
      <c r="AH557" s="529"/>
      <c r="AI557" s="529"/>
      <c r="AJ557" s="529"/>
      <c r="AK557" s="529"/>
      <c r="AL557" s="529"/>
      <c r="AM557" s="529"/>
      <c r="AN557" s="529"/>
      <c r="AO557" s="529"/>
      <c r="AP557" s="529"/>
      <c r="AQ557" s="529"/>
      <c r="AR557" s="529"/>
      <c r="AS557" s="529"/>
      <c r="AT557" s="529"/>
      <c r="AU557" s="529"/>
      <c r="AV557" s="529"/>
      <c r="AW557" s="529"/>
      <c r="AX557" s="530"/>
    </row>
    <row r="558" spans="1:50" ht="15.75" thickBot="1" x14ac:dyDescent="0.3">
      <c r="A558" s="537"/>
      <c r="B558" s="538"/>
      <c r="C558" s="538"/>
      <c r="D558" s="538"/>
      <c r="E558" s="538"/>
      <c r="F558" s="538"/>
      <c r="G558" s="538"/>
      <c r="H558" s="538"/>
      <c r="I558" s="538"/>
      <c r="J558" s="531"/>
      <c r="K558" s="531"/>
      <c r="L558" s="531"/>
      <c r="M558" s="531"/>
      <c r="N558" s="531"/>
      <c r="O558" s="531"/>
      <c r="P558" s="531"/>
      <c r="Q558" s="531"/>
      <c r="R558" s="531"/>
      <c r="S558" s="531"/>
      <c r="T558" s="531"/>
      <c r="U558" s="531"/>
      <c r="V558" s="531"/>
      <c r="W558" s="531"/>
      <c r="X558" s="531"/>
      <c r="Y558" s="532"/>
      <c r="Z558" s="537"/>
      <c r="AA558" s="538"/>
      <c r="AB558" s="538"/>
      <c r="AC558" s="538"/>
      <c r="AD558" s="538"/>
      <c r="AE558" s="538"/>
      <c r="AF558" s="538"/>
      <c r="AG558" s="531"/>
      <c r="AH558" s="531"/>
      <c r="AI558" s="531"/>
      <c r="AJ558" s="531"/>
      <c r="AK558" s="531"/>
      <c r="AL558" s="531"/>
      <c r="AM558" s="531"/>
      <c r="AN558" s="531"/>
      <c r="AO558" s="531"/>
      <c r="AP558" s="531"/>
      <c r="AQ558" s="531"/>
      <c r="AR558" s="531"/>
      <c r="AS558" s="531"/>
      <c r="AT558" s="531"/>
      <c r="AU558" s="531"/>
      <c r="AV558" s="531"/>
      <c r="AW558" s="531"/>
      <c r="AX558" s="532"/>
    </row>
    <row r="559" spans="1:50" x14ac:dyDescent="0.25">
      <c r="A559" s="524"/>
      <c r="B559" s="525"/>
      <c r="C559" s="525"/>
      <c r="D559" s="525"/>
      <c r="E559" s="525"/>
      <c r="F559" s="525"/>
      <c r="G559" s="525"/>
      <c r="H559" s="526" t="str">
        <f>IF(A560="","",LOOKUP(A560,BoonRef!$A$2:$A$430,BoonRef!$C$2:$C$430))</f>
        <v/>
      </c>
      <c r="I559" s="526"/>
      <c r="J559" s="527"/>
      <c r="K559" s="527"/>
      <c r="L559" s="527"/>
      <c r="M559" s="527"/>
      <c r="N559" s="527"/>
      <c r="O559" s="527"/>
      <c r="P559" s="527"/>
      <c r="Q559" s="527"/>
      <c r="R559" s="527"/>
      <c r="S559" s="527"/>
      <c r="T559" s="527"/>
      <c r="U559" s="527"/>
      <c r="V559" s="527"/>
      <c r="W559" s="527"/>
      <c r="X559" s="527"/>
      <c r="Y559" s="528"/>
      <c r="Z559" s="524"/>
      <c r="AA559" s="525"/>
      <c r="AB559" s="525"/>
      <c r="AC559" s="525"/>
      <c r="AD559" s="525"/>
      <c r="AE559" s="526" t="str">
        <f>IF(Z560="","",LOOKUP(Z560,KanckRef!$A$2:$A$170,KanckRef!$E$2:$E$170))</f>
        <v/>
      </c>
      <c r="AF559" s="526"/>
      <c r="AG559" s="527"/>
      <c r="AH559" s="527"/>
      <c r="AI559" s="527"/>
      <c r="AJ559" s="527"/>
      <c r="AK559" s="527"/>
      <c r="AL559" s="527"/>
      <c r="AM559" s="527"/>
      <c r="AN559" s="527"/>
      <c r="AO559" s="527"/>
      <c r="AP559" s="527"/>
      <c r="AQ559" s="527"/>
      <c r="AR559" s="527"/>
      <c r="AS559" s="527"/>
      <c r="AT559" s="527"/>
      <c r="AU559" s="527"/>
      <c r="AV559" s="527"/>
      <c r="AW559" s="527"/>
      <c r="AX559" s="528"/>
    </row>
    <row r="560" spans="1:50" x14ac:dyDescent="0.25">
      <c r="A560" s="533"/>
      <c r="B560" s="534"/>
      <c r="C560" s="534"/>
      <c r="D560" s="534"/>
      <c r="E560" s="534"/>
      <c r="F560" s="534"/>
      <c r="G560" s="534"/>
      <c r="H560" s="535" t="str">
        <f>IF(A560="","",LOOKUP(A560,BoonRef!$A$2:$A$430,BoonRef!$P$2:$P$430))</f>
        <v/>
      </c>
      <c r="I560" s="535"/>
      <c r="J560" s="529"/>
      <c r="K560" s="529"/>
      <c r="L560" s="529"/>
      <c r="M560" s="529"/>
      <c r="N560" s="529"/>
      <c r="O560" s="529"/>
      <c r="P560" s="529"/>
      <c r="Q560" s="529"/>
      <c r="R560" s="529"/>
      <c r="S560" s="529"/>
      <c r="T560" s="529"/>
      <c r="U560" s="529"/>
      <c r="V560" s="529"/>
      <c r="W560" s="529"/>
      <c r="X560" s="529"/>
      <c r="Y560" s="530"/>
      <c r="Z560" s="533"/>
      <c r="AA560" s="534"/>
      <c r="AB560" s="534"/>
      <c r="AC560" s="534"/>
      <c r="AD560" s="534"/>
      <c r="AE560" s="535" t="str">
        <f>IF(Z560="","",LOOKUP(Z560,KanckRef!$A$2:$A$170,KanckRef!$F$2:$F$170))</f>
        <v/>
      </c>
      <c r="AF560" s="535"/>
      <c r="AG560" s="529"/>
      <c r="AH560" s="529"/>
      <c r="AI560" s="529"/>
      <c r="AJ560" s="529"/>
      <c r="AK560" s="529"/>
      <c r="AL560" s="529"/>
      <c r="AM560" s="529"/>
      <c r="AN560" s="529"/>
      <c r="AO560" s="529"/>
      <c r="AP560" s="529"/>
      <c r="AQ560" s="529"/>
      <c r="AR560" s="529"/>
      <c r="AS560" s="529"/>
      <c r="AT560" s="529"/>
      <c r="AU560" s="529"/>
      <c r="AV560" s="529"/>
      <c r="AW560" s="529"/>
      <c r="AX560" s="530"/>
    </row>
    <row r="561" spans="1:50" x14ac:dyDescent="0.25">
      <c r="A561" s="533"/>
      <c r="B561" s="534"/>
      <c r="C561" s="534"/>
      <c r="D561" s="534"/>
      <c r="E561" s="534"/>
      <c r="F561" s="534"/>
      <c r="G561" s="534"/>
      <c r="H561" s="535" t="str">
        <f>IF(A560="","",LOOKUP(A560,BoonRef!$A$2:$A$430,BoonRef!$Q$2:$Q$430))</f>
        <v/>
      </c>
      <c r="I561" s="535"/>
      <c r="J561" s="529"/>
      <c r="K561" s="529"/>
      <c r="L561" s="529"/>
      <c r="M561" s="529"/>
      <c r="N561" s="529"/>
      <c r="O561" s="529"/>
      <c r="P561" s="529"/>
      <c r="Q561" s="529"/>
      <c r="R561" s="529"/>
      <c r="S561" s="529"/>
      <c r="T561" s="529"/>
      <c r="U561" s="529"/>
      <c r="V561" s="529"/>
      <c r="W561" s="529"/>
      <c r="X561" s="529"/>
      <c r="Y561" s="530"/>
      <c r="Z561" s="533"/>
      <c r="AA561" s="534"/>
      <c r="AB561" s="534"/>
      <c r="AC561" s="534"/>
      <c r="AD561" s="534"/>
      <c r="AE561" s="535"/>
      <c r="AF561" s="535"/>
      <c r="AG561" s="529"/>
      <c r="AH561" s="529"/>
      <c r="AI561" s="529"/>
      <c r="AJ561" s="529"/>
      <c r="AK561" s="529"/>
      <c r="AL561" s="529"/>
      <c r="AM561" s="529"/>
      <c r="AN561" s="529"/>
      <c r="AO561" s="529"/>
      <c r="AP561" s="529"/>
      <c r="AQ561" s="529"/>
      <c r="AR561" s="529"/>
      <c r="AS561" s="529"/>
      <c r="AT561" s="529"/>
      <c r="AU561" s="529"/>
      <c r="AV561" s="529"/>
      <c r="AW561" s="529"/>
      <c r="AX561" s="530"/>
    </row>
    <row r="562" spans="1:50" x14ac:dyDescent="0.25">
      <c r="A562" s="536" t="str">
        <f>IF(A560="","",LOOKUP(A560,BoonRef!$A$2:$A$430,BoonRef!$O$2:$O$430))</f>
        <v/>
      </c>
      <c r="B562" s="535"/>
      <c r="C562" s="535"/>
      <c r="D562" s="535"/>
      <c r="E562" s="535"/>
      <c r="F562" s="535"/>
      <c r="G562" s="535"/>
      <c r="H562" s="535"/>
      <c r="I562" s="535"/>
      <c r="J562" s="529"/>
      <c r="K562" s="529"/>
      <c r="L562" s="529"/>
      <c r="M562" s="529"/>
      <c r="N562" s="529"/>
      <c r="O562" s="529"/>
      <c r="P562" s="529"/>
      <c r="Q562" s="529"/>
      <c r="R562" s="529"/>
      <c r="S562" s="529"/>
      <c r="T562" s="529"/>
      <c r="U562" s="529"/>
      <c r="V562" s="529"/>
      <c r="W562" s="529"/>
      <c r="X562" s="529"/>
      <c r="Y562" s="530"/>
      <c r="Z562" s="536" t="str">
        <f>IF(Z560="","",LOOKUP(Z560,KanckRef!$A$2:$A$170,KanckRef!$D$2:$D$170))</f>
        <v/>
      </c>
      <c r="AA562" s="535"/>
      <c r="AB562" s="535"/>
      <c r="AC562" s="535"/>
      <c r="AD562" s="535"/>
      <c r="AE562" s="535"/>
      <c r="AF562" s="535"/>
      <c r="AG562" s="529"/>
      <c r="AH562" s="529"/>
      <c r="AI562" s="529"/>
      <c r="AJ562" s="529"/>
      <c r="AK562" s="529"/>
      <c r="AL562" s="529"/>
      <c r="AM562" s="529"/>
      <c r="AN562" s="529"/>
      <c r="AO562" s="529"/>
      <c r="AP562" s="529"/>
      <c r="AQ562" s="529"/>
      <c r="AR562" s="529"/>
      <c r="AS562" s="529"/>
      <c r="AT562" s="529"/>
      <c r="AU562" s="529"/>
      <c r="AV562" s="529"/>
      <c r="AW562" s="529"/>
      <c r="AX562" s="530"/>
    </row>
    <row r="563" spans="1:50" x14ac:dyDescent="0.25">
      <c r="A563" s="536" t="str">
        <f>IF(A560="","",LOOKUP(A560,BoonRef!$A$2:$A$430,BoonRef!$N$2:$N$430))</f>
        <v/>
      </c>
      <c r="B563" s="535"/>
      <c r="C563" s="535"/>
      <c r="D563" s="535"/>
      <c r="E563" s="535"/>
      <c r="F563" s="535"/>
      <c r="G563" s="535"/>
      <c r="H563" s="535"/>
      <c r="I563" s="535"/>
      <c r="J563" s="529"/>
      <c r="K563" s="529"/>
      <c r="L563" s="529"/>
      <c r="M563" s="529"/>
      <c r="N563" s="529"/>
      <c r="O563" s="529"/>
      <c r="P563" s="529"/>
      <c r="Q563" s="529"/>
      <c r="R563" s="529"/>
      <c r="S563" s="529"/>
      <c r="T563" s="529"/>
      <c r="U563" s="529"/>
      <c r="V563" s="529"/>
      <c r="W563" s="529"/>
      <c r="X563" s="529"/>
      <c r="Y563" s="530"/>
      <c r="Z563" s="536"/>
      <c r="AA563" s="535"/>
      <c r="AB563" s="535"/>
      <c r="AC563" s="535"/>
      <c r="AD563" s="535"/>
      <c r="AE563" s="535"/>
      <c r="AF563" s="535"/>
      <c r="AG563" s="529"/>
      <c r="AH563" s="529"/>
      <c r="AI563" s="529"/>
      <c r="AJ563" s="529"/>
      <c r="AK563" s="529"/>
      <c r="AL563" s="529"/>
      <c r="AM563" s="529"/>
      <c r="AN563" s="529"/>
      <c r="AO563" s="529"/>
      <c r="AP563" s="529"/>
      <c r="AQ563" s="529"/>
      <c r="AR563" s="529"/>
      <c r="AS563" s="529"/>
      <c r="AT563" s="529"/>
      <c r="AU563" s="529"/>
      <c r="AV563" s="529"/>
      <c r="AW563" s="529"/>
      <c r="AX563" s="530"/>
    </row>
    <row r="564" spans="1:50" ht="15.75" thickBot="1" x14ac:dyDescent="0.3">
      <c r="A564" s="537"/>
      <c r="B564" s="538"/>
      <c r="C564" s="538"/>
      <c r="D564" s="538"/>
      <c r="E564" s="538"/>
      <c r="F564" s="538"/>
      <c r="G564" s="538"/>
      <c r="H564" s="538"/>
      <c r="I564" s="538"/>
      <c r="J564" s="531"/>
      <c r="K564" s="531"/>
      <c r="L564" s="531"/>
      <c r="M564" s="531"/>
      <c r="N564" s="531"/>
      <c r="O564" s="531"/>
      <c r="P564" s="531"/>
      <c r="Q564" s="531"/>
      <c r="R564" s="531"/>
      <c r="S564" s="531"/>
      <c r="T564" s="531"/>
      <c r="U564" s="531"/>
      <c r="V564" s="531"/>
      <c r="W564" s="531"/>
      <c r="X564" s="531"/>
      <c r="Y564" s="532"/>
      <c r="Z564" s="537"/>
      <c r="AA564" s="538"/>
      <c r="AB564" s="538"/>
      <c r="AC564" s="538"/>
      <c r="AD564" s="538"/>
      <c r="AE564" s="538"/>
      <c r="AF564" s="538"/>
      <c r="AG564" s="531"/>
      <c r="AH564" s="531"/>
      <c r="AI564" s="531"/>
      <c r="AJ564" s="531"/>
      <c r="AK564" s="531"/>
      <c r="AL564" s="531"/>
      <c r="AM564" s="531"/>
      <c r="AN564" s="531"/>
      <c r="AO564" s="531"/>
      <c r="AP564" s="531"/>
      <c r="AQ564" s="531"/>
      <c r="AR564" s="531"/>
      <c r="AS564" s="531"/>
      <c r="AT564" s="531"/>
      <c r="AU564" s="531"/>
      <c r="AV564" s="531"/>
      <c r="AW564" s="531"/>
      <c r="AX564" s="532"/>
    </row>
    <row r="565" spans="1:50" x14ac:dyDescent="0.25">
      <c r="A565" s="524"/>
      <c r="B565" s="525"/>
      <c r="C565" s="525"/>
      <c r="D565" s="525"/>
      <c r="E565" s="525"/>
      <c r="F565" s="525"/>
      <c r="G565" s="525"/>
      <c r="H565" s="526" t="str">
        <f>IF(A566="","",LOOKUP(A566,BoonRef!$A$2:$A$430,BoonRef!$C$2:$C$430))</f>
        <v/>
      </c>
      <c r="I565" s="526"/>
      <c r="J565" s="527"/>
      <c r="K565" s="527"/>
      <c r="L565" s="527"/>
      <c r="M565" s="527"/>
      <c r="N565" s="527"/>
      <c r="O565" s="527"/>
      <c r="P565" s="527"/>
      <c r="Q565" s="527"/>
      <c r="R565" s="527"/>
      <c r="S565" s="527"/>
      <c r="T565" s="527"/>
      <c r="U565" s="527"/>
      <c r="V565" s="527"/>
      <c r="W565" s="527"/>
      <c r="X565" s="527"/>
      <c r="Y565" s="528"/>
      <c r="Z565" s="524"/>
      <c r="AA565" s="525"/>
      <c r="AB565" s="525"/>
      <c r="AC565" s="525"/>
      <c r="AD565" s="525"/>
      <c r="AE565" s="526" t="str">
        <f>IF(Z566="","",LOOKUP(Z566,KanckRef!$A$2:$A$170,KanckRef!$E$2:$E$170))</f>
        <v/>
      </c>
      <c r="AF565" s="526"/>
      <c r="AG565" s="527"/>
      <c r="AH565" s="527"/>
      <c r="AI565" s="527"/>
      <c r="AJ565" s="527"/>
      <c r="AK565" s="527"/>
      <c r="AL565" s="527"/>
      <c r="AM565" s="527"/>
      <c r="AN565" s="527"/>
      <c r="AO565" s="527"/>
      <c r="AP565" s="527"/>
      <c r="AQ565" s="527"/>
      <c r="AR565" s="527"/>
      <c r="AS565" s="527"/>
      <c r="AT565" s="527"/>
      <c r="AU565" s="527"/>
      <c r="AV565" s="527"/>
      <c r="AW565" s="527"/>
      <c r="AX565" s="528"/>
    </row>
    <row r="566" spans="1:50" x14ac:dyDescent="0.25">
      <c r="A566" s="533"/>
      <c r="B566" s="534"/>
      <c r="C566" s="534"/>
      <c r="D566" s="534"/>
      <c r="E566" s="534"/>
      <c r="F566" s="534"/>
      <c r="G566" s="534"/>
      <c r="H566" s="535" t="str">
        <f>IF(A566="","",LOOKUP(A566,BoonRef!$A$2:$A$430,BoonRef!$P$2:$P$430))</f>
        <v/>
      </c>
      <c r="I566" s="535"/>
      <c r="J566" s="529"/>
      <c r="K566" s="529"/>
      <c r="L566" s="529"/>
      <c r="M566" s="529"/>
      <c r="N566" s="529"/>
      <c r="O566" s="529"/>
      <c r="P566" s="529"/>
      <c r="Q566" s="529"/>
      <c r="R566" s="529"/>
      <c r="S566" s="529"/>
      <c r="T566" s="529"/>
      <c r="U566" s="529"/>
      <c r="V566" s="529"/>
      <c r="W566" s="529"/>
      <c r="X566" s="529"/>
      <c r="Y566" s="530"/>
      <c r="Z566" s="533"/>
      <c r="AA566" s="534"/>
      <c r="AB566" s="534"/>
      <c r="AC566" s="534"/>
      <c r="AD566" s="534"/>
      <c r="AE566" s="535" t="str">
        <f>IF(Z566="","",LOOKUP(Z566,KanckRef!$A$2:$A$170,KanckRef!$F$2:$F$170))</f>
        <v/>
      </c>
      <c r="AF566" s="535"/>
      <c r="AG566" s="529"/>
      <c r="AH566" s="529"/>
      <c r="AI566" s="529"/>
      <c r="AJ566" s="529"/>
      <c r="AK566" s="529"/>
      <c r="AL566" s="529"/>
      <c r="AM566" s="529"/>
      <c r="AN566" s="529"/>
      <c r="AO566" s="529"/>
      <c r="AP566" s="529"/>
      <c r="AQ566" s="529"/>
      <c r="AR566" s="529"/>
      <c r="AS566" s="529"/>
      <c r="AT566" s="529"/>
      <c r="AU566" s="529"/>
      <c r="AV566" s="529"/>
      <c r="AW566" s="529"/>
      <c r="AX566" s="530"/>
    </row>
    <row r="567" spans="1:50" x14ac:dyDescent="0.25">
      <c r="A567" s="533"/>
      <c r="B567" s="534"/>
      <c r="C567" s="534"/>
      <c r="D567" s="534"/>
      <c r="E567" s="534"/>
      <c r="F567" s="534"/>
      <c r="G567" s="534"/>
      <c r="H567" s="535" t="str">
        <f>IF(A566="","",LOOKUP(A566,BoonRef!$A$2:$A$430,BoonRef!$Q$2:$Q$430))</f>
        <v/>
      </c>
      <c r="I567" s="535"/>
      <c r="J567" s="529"/>
      <c r="K567" s="529"/>
      <c r="L567" s="529"/>
      <c r="M567" s="529"/>
      <c r="N567" s="529"/>
      <c r="O567" s="529"/>
      <c r="P567" s="529"/>
      <c r="Q567" s="529"/>
      <c r="R567" s="529"/>
      <c r="S567" s="529"/>
      <c r="T567" s="529"/>
      <c r="U567" s="529"/>
      <c r="V567" s="529"/>
      <c r="W567" s="529"/>
      <c r="X567" s="529"/>
      <c r="Y567" s="530"/>
      <c r="Z567" s="533"/>
      <c r="AA567" s="534"/>
      <c r="AB567" s="534"/>
      <c r="AC567" s="534"/>
      <c r="AD567" s="534"/>
      <c r="AE567" s="535"/>
      <c r="AF567" s="535"/>
      <c r="AG567" s="529"/>
      <c r="AH567" s="529"/>
      <c r="AI567" s="529"/>
      <c r="AJ567" s="529"/>
      <c r="AK567" s="529"/>
      <c r="AL567" s="529"/>
      <c r="AM567" s="529"/>
      <c r="AN567" s="529"/>
      <c r="AO567" s="529"/>
      <c r="AP567" s="529"/>
      <c r="AQ567" s="529"/>
      <c r="AR567" s="529"/>
      <c r="AS567" s="529"/>
      <c r="AT567" s="529"/>
      <c r="AU567" s="529"/>
      <c r="AV567" s="529"/>
      <c r="AW567" s="529"/>
      <c r="AX567" s="530"/>
    </row>
    <row r="568" spans="1:50" x14ac:dyDescent="0.25">
      <c r="A568" s="536" t="str">
        <f>IF(A566="","",LOOKUP(A566,BoonRef!$A$2:$A$430,BoonRef!$O$2:$O$430))</f>
        <v/>
      </c>
      <c r="B568" s="535"/>
      <c r="C568" s="535"/>
      <c r="D568" s="535"/>
      <c r="E568" s="535"/>
      <c r="F568" s="535"/>
      <c r="G568" s="535"/>
      <c r="H568" s="535"/>
      <c r="I568" s="535"/>
      <c r="J568" s="529"/>
      <c r="K568" s="529"/>
      <c r="L568" s="529"/>
      <c r="M568" s="529"/>
      <c r="N568" s="529"/>
      <c r="O568" s="529"/>
      <c r="P568" s="529"/>
      <c r="Q568" s="529"/>
      <c r="R568" s="529"/>
      <c r="S568" s="529"/>
      <c r="T568" s="529"/>
      <c r="U568" s="529"/>
      <c r="V568" s="529"/>
      <c r="W568" s="529"/>
      <c r="X568" s="529"/>
      <c r="Y568" s="530"/>
      <c r="Z568" s="536" t="str">
        <f>IF(Z566="","",LOOKUP(Z566,KanckRef!$A$2:$A$170,KanckRef!$D$2:$D$170))</f>
        <v/>
      </c>
      <c r="AA568" s="535"/>
      <c r="AB568" s="535"/>
      <c r="AC568" s="535"/>
      <c r="AD568" s="535"/>
      <c r="AE568" s="535"/>
      <c r="AF568" s="535"/>
      <c r="AG568" s="529"/>
      <c r="AH568" s="529"/>
      <c r="AI568" s="529"/>
      <c r="AJ568" s="529"/>
      <c r="AK568" s="529"/>
      <c r="AL568" s="529"/>
      <c r="AM568" s="529"/>
      <c r="AN568" s="529"/>
      <c r="AO568" s="529"/>
      <c r="AP568" s="529"/>
      <c r="AQ568" s="529"/>
      <c r="AR568" s="529"/>
      <c r="AS568" s="529"/>
      <c r="AT568" s="529"/>
      <c r="AU568" s="529"/>
      <c r="AV568" s="529"/>
      <c r="AW568" s="529"/>
      <c r="AX568" s="530"/>
    </row>
    <row r="569" spans="1:50" x14ac:dyDescent="0.25">
      <c r="A569" s="536" t="str">
        <f>IF(A566="","",LOOKUP(A566,BoonRef!$A$2:$A$430,BoonRef!$N$2:$N$430))</f>
        <v/>
      </c>
      <c r="B569" s="535"/>
      <c r="C569" s="535"/>
      <c r="D569" s="535"/>
      <c r="E569" s="535"/>
      <c r="F569" s="535"/>
      <c r="G569" s="535"/>
      <c r="H569" s="535"/>
      <c r="I569" s="535"/>
      <c r="J569" s="529"/>
      <c r="K569" s="529"/>
      <c r="L569" s="529"/>
      <c r="M569" s="529"/>
      <c r="N569" s="529"/>
      <c r="O569" s="529"/>
      <c r="P569" s="529"/>
      <c r="Q569" s="529"/>
      <c r="R569" s="529"/>
      <c r="S569" s="529"/>
      <c r="T569" s="529"/>
      <c r="U569" s="529"/>
      <c r="V569" s="529"/>
      <c r="W569" s="529"/>
      <c r="X569" s="529"/>
      <c r="Y569" s="530"/>
      <c r="Z569" s="536"/>
      <c r="AA569" s="535"/>
      <c r="AB569" s="535"/>
      <c r="AC569" s="535"/>
      <c r="AD569" s="535"/>
      <c r="AE569" s="535"/>
      <c r="AF569" s="535"/>
      <c r="AG569" s="529"/>
      <c r="AH569" s="529"/>
      <c r="AI569" s="529"/>
      <c r="AJ569" s="529"/>
      <c r="AK569" s="529"/>
      <c r="AL569" s="529"/>
      <c r="AM569" s="529"/>
      <c r="AN569" s="529"/>
      <c r="AO569" s="529"/>
      <c r="AP569" s="529"/>
      <c r="AQ569" s="529"/>
      <c r="AR569" s="529"/>
      <c r="AS569" s="529"/>
      <c r="AT569" s="529"/>
      <c r="AU569" s="529"/>
      <c r="AV569" s="529"/>
      <c r="AW569" s="529"/>
      <c r="AX569" s="530"/>
    </row>
    <row r="570" spans="1:50" ht="15.75" thickBot="1" x14ac:dyDescent="0.3">
      <c r="A570" s="537"/>
      <c r="B570" s="538"/>
      <c r="C570" s="538"/>
      <c r="D570" s="538"/>
      <c r="E570" s="538"/>
      <c r="F570" s="538"/>
      <c r="G570" s="538"/>
      <c r="H570" s="538"/>
      <c r="I570" s="538"/>
      <c r="J570" s="531"/>
      <c r="K570" s="531"/>
      <c r="L570" s="531"/>
      <c r="M570" s="531"/>
      <c r="N570" s="531"/>
      <c r="O570" s="531"/>
      <c r="P570" s="531"/>
      <c r="Q570" s="531"/>
      <c r="R570" s="531"/>
      <c r="S570" s="531"/>
      <c r="T570" s="531"/>
      <c r="U570" s="531"/>
      <c r="V570" s="531"/>
      <c r="W570" s="531"/>
      <c r="X570" s="531"/>
      <c r="Y570" s="532"/>
      <c r="Z570" s="537"/>
      <c r="AA570" s="538"/>
      <c r="AB570" s="538"/>
      <c r="AC570" s="538"/>
      <c r="AD570" s="538"/>
      <c r="AE570" s="538"/>
      <c r="AF570" s="538"/>
      <c r="AG570" s="531"/>
      <c r="AH570" s="531"/>
      <c r="AI570" s="531"/>
      <c r="AJ570" s="531"/>
      <c r="AK570" s="531"/>
      <c r="AL570" s="531"/>
      <c r="AM570" s="531"/>
      <c r="AN570" s="531"/>
      <c r="AO570" s="531"/>
      <c r="AP570" s="531"/>
      <c r="AQ570" s="531"/>
      <c r="AR570" s="531"/>
      <c r="AS570" s="531"/>
      <c r="AT570" s="531"/>
      <c r="AU570" s="531"/>
      <c r="AV570" s="531"/>
      <c r="AW570" s="531"/>
      <c r="AX570" s="532"/>
    </row>
    <row r="571" spans="1:50" x14ac:dyDescent="0.25">
      <c r="A571" s="524"/>
      <c r="B571" s="525"/>
      <c r="C571" s="525"/>
      <c r="D571" s="525"/>
      <c r="E571" s="525"/>
      <c r="F571" s="525"/>
      <c r="G571" s="525"/>
      <c r="H571" s="526" t="str">
        <f>IF(A572="","",LOOKUP(A572,BoonRef!$A$2:$A$430,BoonRef!$C$2:$C$430))</f>
        <v/>
      </c>
      <c r="I571" s="526"/>
      <c r="J571" s="527"/>
      <c r="K571" s="527"/>
      <c r="L571" s="527"/>
      <c r="M571" s="527"/>
      <c r="N571" s="527"/>
      <c r="O571" s="527"/>
      <c r="P571" s="527"/>
      <c r="Q571" s="527"/>
      <c r="R571" s="527"/>
      <c r="S571" s="527"/>
      <c r="T571" s="527"/>
      <c r="U571" s="527"/>
      <c r="V571" s="527"/>
      <c r="W571" s="527"/>
      <c r="X571" s="527"/>
      <c r="Y571" s="528"/>
      <c r="Z571" s="524"/>
      <c r="AA571" s="525"/>
      <c r="AB571" s="525"/>
      <c r="AC571" s="525"/>
      <c r="AD571" s="525"/>
      <c r="AE571" s="526" t="str">
        <f>IF(Z572="","",LOOKUP(Z572,KanckRef!$A$2:$A$170,KanckRef!$E$2:$E$170))</f>
        <v/>
      </c>
      <c r="AF571" s="526"/>
      <c r="AG571" s="527"/>
      <c r="AH571" s="527"/>
      <c r="AI571" s="527"/>
      <c r="AJ571" s="527"/>
      <c r="AK571" s="527"/>
      <c r="AL571" s="527"/>
      <c r="AM571" s="527"/>
      <c r="AN571" s="527"/>
      <c r="AO571" s="527"/>
      <c r="AP571" s="527"/>
      <c r="AQ571" s="527"/>
      <c r="AR571" s="527"/>
      <c r="AS571" s="527"/>
      <c r="AT571" s="527"/>
      <c r="AU571" s="527"/>
      <c r="AV571" s="527"/>
      <c r="AW571" s="527"/>
      <c r="AX571" s="528"/>
    </row>
    <row r="572" spans="1:50" x14ac:dyDescent="0.25">
      <c r="A572" s="533"/>
      <c r="B572" s="534"/>
      <c r="C572" s="534"/>
      <c r="D572" s="534"/>
      <c r="E572" s="534"/>
      <c r="F572" s="534"/>
      <c r="G572" s="534"/>
      <c r="H572" s="535" t="str">
        <f>IF(A572="","",LOOKUP(A572,BoonRef!$A$2:$A$430,BoonRef!$P$2:$P$430))</f>
        <v/>
      </c>
      <c r="I572" s="535"/>
      <c r="J572" s="529"/>
      <c r="K572" s="529"/>
      <c r="L572" s="529"/>
      <c r="M572" s="529"/>
      <c r="N572" s="529"/>
      <c r="O572" s="529"/>
      <c r="P572" s="529"/>
      <c r="Q572" s="529"/>
      <c r="R572" s="529"/>
      <c r="S572" s="529"/>
      <c r="T572" s="529"/>
      <c r="U572" s="529"/>
      <c r="V572" s="529"/>
      <c r="W572" s="529"/>
      <c r="X572" s="529"/>
      <c r="Y572" s="530"/>
      <c r="Z572" s="533"/>
      <c r="AA572" s="534"/>
      <c r="AB572" s="534"/>
      <c r="AC572" s="534"/>
      <c r="AD572" s="534"/>
      <c r="AE572" s="535" t="str">
        <f>IF(Z572="","",LOOKUP(Z572,KanckRef!$A$2:$A$170,KanckRef!$F$2:$F$170))</f>
        <v/>
      </c>
      <c r="AF572" s="535"/>
      <c r="AG572" s="529"/>
      <c r="AH572" s="529"/>
      <c r="AI572" s="529"/>
      <c r="AJ572" s="529"/>
      <c r="AK572" s="529"/>
      <c r="AL572" s="529"/>
      <c r="AM572" s="529"/>
      <c r="AN572" s="529"/>
      <c r="AO572" s="529"/>
      <c r="AP572" s="529"/>
      <c r="AQ572" s="529"/>
      <c r="AR572" s="529"/>
      <c r="AS572" s="529"/>
      <c r="AT572" s="529"/>
      <c r="AU572" s="529"/>
      <c r="AV572" s="529"/>
      <c r="AW572" s="529"/>
      <c r="AX572" s="530"/>
    </row>
    <row r="573" spans="1:50" x14ac:dyDescent="0.25">
      <c r="A573" s="533"/>
      <c r="B573" s="534"/>
      <c r="C573" s="534"/>
      <c r="D573" s="534"/>
      <c r="E573" s="534"/>
      <c r="F573" s="534"/>
      <c r="G573" s="534"/>
      <c r="H573" s="535" t="str">
        <f>IF(A572="","",LOOKUP(A572,BoonRef!$A$2:$A$430,BoonRef!$Q$2:$Q$430))</f>
        <v/>
      </c>
      <c r="I573" s="535"/>
      <c r="J573" s="529"/>
      <c r="K573" s="529"/>
      <c r="L573" s="529"/>
      <c r="M573" s="529"/>
      <c r="N573" s="529"/>
      <c r="O573" s="529"/>
      <c r="P573" s="529"/>
      <c r="Q573" s="529"/>
      <c r="R573" s="529"/>
      <c r="S573" s="529"/>
      <c r="T573" s="529"/>
      <c r="U573" s="529"/>
      <c r="V573" s="529"/>
      <c r="W573" s="529"/>
      <c r="X573" s="529"/>
      <c r="Y573" s="530"/>
      <c r="Z573" s="533"/>
      <c r="AA573" s="534"/>
      <c r="AB573" s="534"/>
      <c r="AC573" s="534"/>
      <c r="AD573" s="534"/>
      <c r="AE573" s="535"/>
      <c r="AF573" s="535"/>
      <c r="AG573" s="529"/>
      <c r="AH573" s="529"/>
      <c r="AI573" s="529"/>
      <c r="AJ573" s="529"/>
      <c r="AK573" s="529"/>
      <c r="AL573" s="529"/>
      <c r="AM573" s="529"/>
      <c r="AN573" s="529"/>
      <c r="AO573" s="529"/>
      <c r="AP573" s="529"/>
      <c r="AQ573" s="529"/>
      <c r="AR573" s="529"/>
      <c r="AS573" s="529"/>
      <c r="AT573" s="529"/>
      <c r="AU573" s="529"/>
      <c r="AV573" s="529"/>
      <c r="AW573" s="529"/>
      <c r="AX573" s="530"/>
    </row>
    <row r="574" spans="1:50" x14ac:dyDescent="0.25">
      <c r="A574" s="536" t="str">
        <f>IF(A572="","",LOOKUP(A572,BoonRef!$A$2:$A$430,BoonRef!$O$2:$O$430))</f>
        <v/>
      </c>
      <c r="B574" s="535"/>
      <c r="C574" s="535"/>
      <c r="D574" s="535"/>
      <c r="E574" s="535"/>
      <c r="F574" s="535"/>
      <c r="G574" s="535"/>
      <c r="H574" s="535"/>
      <c r="I574" s="535"/>
      <c r="J574" s="529"/>
      <c r="K574" s="529"/>
      <c r="L574" s="529"/>
      <c r="M574" s="529"/>
      <c r="N574" s="529"/>
      <c r="O574" s="529"/>
      <c r="P574" s="529"/>
      <c r="Q574" s="529"/>
      <c r="R574" s="529"/>
      <c r="S574" s="529"/>
      <c r="T574" s="529"/>
      <c r="U574" s="529"/>
      <c r="V574" s="529"/>
      <c r="W574" s="529"/>
      <c r="X574" s="529"/>
      <c r="Y574" s="530"/>
      <c r="Z574" s="536" t="str">
        <f>IF(Z572="","",LOOKUP(Z572,KanckRef!$A$2:$A$170,KanckRef!$D$2:$D$170))</f>
        <v/>
      </c>
      <c r="AA574" s="535"/>
      <c r="AB574" s="535"/>
      <c r="AC574" s="535"/>
      <c r="AD574" s="535"/>
      <c r="AE574" s="535"/>
      <c r="AF574" s="535"/>
      <c r="AG574" s="529"/>
      <c r="AH574" s="529"/>
      <c r="AI574" s="529"/>
      <c r="AJ574" s="529"/>
      <c r="AK574" s="529"/>
      <c r="AL574" s="529"/>
      <c r="AM574" s="529"/>
      <c r="AN574" s="529"/>
      <c r="AO574" s="529"/>
      <c r="AP574" s="529"/>
      <c r="AQ574" s="529"/>
      <c r="AR574" s="529"/>
      <c r="AS574" s="529"/>
      <c r="AT574" s="529"/>
      <c r="AU574" s="529"/>
      <c r="AV574" s="529"/>
      <c r="AW574" s="529"/>
      <c r="AX574" s="530"/>
    </row>
    <row r="575" spans="1:50" x14ac:dyDescent="0.25">
      <c r="A575" s="536" t="str">
        <f>IF(A572="","",LOOKUP(A572,BoonRef!$A$2:$A$430,BoonRef!$N$2:$N$430))</f>
        <v/>
      </c>
      <c r="B575" s="535"/>
      <c r="C575" s="535"/>
      <c r="D575" s="535"/>
      <c r="E575" s="535"/>
      <c r="F575" s="535"/>
      <c r="G575" s="535"/>
      <c r="H575" s="535"/>
      <c r="I575" s="535"/>
      <c r="J575" s="529"/>
      <c r="K575" s="529"/>
      <c r="L575" s="529"/>
      <c r="M575" s="529"/>
      <c r="N575" s="529"/>
      <c r="O575" s="529"/>
      <c r="P575" s="529"/>
      <c r="Q575" s="529"/>
      <c r="R575" s="529"/>
      <c r="S575" s="529"/>
      <c r="T575" s="529"/>
      <c r="U575" s="529"/>
      <c r="V575" s="529"/>
      <c r="W575" s="529"/>
      <c r="X575" s="529"/>
      <c r="Y575" s="530"/>
      <c r="Z575" s="536"/>
      <c r="AA575" s="535"/>
      <c r="AB575" s="535"/>
      <c r="AC575" s="535"/>
      <c r="AD575" s="535"/>
      <c r="AE575" s="535"/>
      <c r="AF575" s="535"/>
      <c r="AG575" s="529"/>
      <c r="AH575" s="529"/>
      <c r="AI575" s="529"/>
      <c r="AJ575" s="529"/>
      <c r="AK575" s="529"/>
      <c r="AL575" s="529"/>
      <c r="AM575" s="529"/>
      <c r="AN575" s="529"/>
      <c r="AO575" s="529"/>
      <c r="AP575" s="529"/>
      <c r="AQ575" s="529"/>
      <c r="AR575" s="529"/>
      <c r="AS575" s="529"/>
      <c r="AT575" s="529"/>
      <c r="AU575" s="529"/>
      <c r="AV575" s="529"/>
      <c r="AW575" s="529"/>
      <c r="AX575" s="530"/>
    </row>
    <row r="576" spans="1:50" ht="15.75" thickBot="1" x14ac:dyDescent="0.3">
      <c r="A576" s="537"/>
      <c r="B576" s="538"/>
      <c r="C576" s="538"/>
      <c r="D576" s="538"/>
      <c r="E576" s="538"/>
      <c r="F576" s="538"/>
      <c r="G576" s="538"/>
      <c r="H576" s="538"/>
      <c r="I576" s="538"/>
      <c r="J576" s="531"/>
      <c r="K576" s="531"/>
      <c r="L576" s="531"/>
      <c r="M576" s="531"/>
      <c r="N576" s="531"/>
      <c r="O576" s="531"/>
      <c r="P576" s="531"/>
      <c r="Q576" s="531"/>
      <c r="R576" s="531"/>
      <c r="S576" s="531"/>
      <c r="T576" s="531"/>
      <c r="U576" s="531"/>
      <c r="V576" s="531"/>
      <c r="W576" s="531"/>
      <c r="X576" s="531"/>
      <c r="Y576" s="532"/>
      <c r="Z576" s="537"/>
      <c r="AA576" s="538"/>
      <c r="AB576" s="538"/>
      <c r="AC576" s="538"/>
      <c r="AD576" s="538"/>
      <c r="AE576" s="538"/>
      <c r="AF576" s="538"/>
      <c r="AG576" s="531"/>
      <c r="AH576" s="531"/>
      <c r="AI576" s="531"/>
      <c r="AJ576" s="531"/>
      <c r="AK576" s="531"/>
      <c r="AL576" s="531"/>
      <c r="AM576" s="531"/>
      <c r="AN576" s="531"/>
      <c r="AO576" s="531"/>
      <c r="AP576" s="531"/>
      <c r="AQ576" s="531"/>
      <c r="AR576" s="531"/>
      <c r="AS576" s="531"/>
      <c r="AT576" s="531"/>
      <c r="AU576" s="531"/>
      <c r="AV576" s="531"/>
      <c r="AW576" s="531"/>
      <c r="AX576" s="532"/>
    </row>
    <row r="577" spans="1:50" x14ac:dyDescent="0.25">
      <c r="A577" s="524"/>
      <c r="B577" s="525"/>
      <c r="C577" s="525"/>
      <c r="D577" s="525"/>
      <c r="E577" s="525"/>
      <c r="F577" s="525"/>
      <c r="G577" s="525"/>
      <c r="H577" s="526" t="str">
        <f>IF(A578="","",LOOKUP(A578,BoonRef!$A$2:$A$430,BoonRef!$C$2:$C$430))</f>
        <v/>
      </c>
      <c r="I577" s="526"/>
      <c r="J577" s="527"/>
      <c r="K577" s="527"/>
      <c r="L577" s="527"/>
      <c r="M577" s="527"/>
      <c r="N577" s="527"/>
      <c r="O577" s="527"/>
      <c r="P577" s="527"/>
      <c r="Q577" s="527"/>
      <c r="R577" s="527"/>
      <c r="S577" s="527"/>
      <c r="T577" s="527"/>
      <c r="U577" s="527"/>
      <c r="V577" s="527"/>
      <c r="W577" s="527"/>
      <c r="X577" s="527"/>
      <c r="Y577" s="528"/>
      <c r="Z577" s="524"/>
      <c r="AA577" s="525"/>
      <c r="AB577" s="525"/>
      <c r="AC577" s="525"/>
      <c r="AD577" s="525"/>
      <c r="AE577" s="526" t="str">
        <f>IF(Z578="","",LOOKUP(Z578,KanckRef!$A$2:$A$170,KanckRef!$E$2:$E$170))</f>
        <v/>
      </c>
      <c r="AF577" s="526"/>
      <c r="AG577" s="527"/>
      <c r="AH577" s="527"/>
      <c r="AI577" s="527"/>
      <c r="AJ577" s="527"/>
      <c r="AK577" s="527"/>
      <c r="AL577" s="527"/>
      <c r="AM577" s="527"/>
      <c r="AN577" s="527"/>
      <c r="AO577" s="527"/>
      <c r="AP577" s="527"/>
      <c r="AQ577" s="527"/>
      <c r="AR577" s="527"/>
      <c r="AS577" s="527"/>
      <c r="AT577" s="527"/>
      <c r="AU577" s="527"/>
      <c r="AV577" s="527"/>
      <c r="AW577" s="527"/>
      <c r="AX577" s="528"/>
    </row>
    <row r="578" spans="1:50" x14ac:dyDescent="0.25">
      <c r="A578" s="533"/>
      <c r="B578" s="534"/>
      <c r="C578" s="534"/>
      <c r="D578" s="534"/>
      <c r="E578" s="534"/>
      <c r="F578" s="534"/>
      <c r="G578" s="534"/>
      <c r="H578" s="535" t="str">
        <f>IF(A578="","",LOOKUP(A578,BoonRef!$A$2:$A$430,BoonRef!$P$2:$P$430))</f>
        <v/>
      </c>
      <c r="I578" s="535"/>
      <c r="J578" s="529"/>
      <c r="K578" s="529"/>
      <c r="L578" s="529"/>
      <c r="M578" s="529"/>
      <c r="N578" s="529"/>
      <c r="O578" s="529"/>
      <c r="P578" s="529"/>
      <c r="Q578" s="529"/>
      <c r="R578" s="529"/>
      <c r="S578" s="529"/>
      <c r="T578" s="529"/>
      <c r="U578" s="529"/>
      <c r="V578" s="529"/>
      <c r="W578" s="529"/>
      <c r="X578" s="529"/>
      <c r="Y578" s="530"/>
      <c r="Z578" s="533"/>
      <c r="AA578" s="534"/>
      <c r="AB578" s="534"/>
      <c r="AC578" s="534"/>
      <c r="AD578" s="534"/>
      <c r="AE578" s="535" t="str">
        <f>IF(Z578="","",LOOKUP(Z578,KanckRef!$A$2:$A$170,KanckRef!$F$2:$F$170))</f>
        <v/>
      </c>
      <c r="AF578" s="535"/>
      <c r="AG578" s="529"/>
      <c r="AH578" s="529"/>
      <c r="AI578" s="529"/>
      <c r="AJ578" s="529"/>
      <c r="AK578" s="529"/>
      <c r="AL578" s="529"/>
      <c r="AM578" s="529"/>
      <c r="AN578" s="529"/>
      <c r="AO578" s="529"/>
      <c r="AP578" s="529"/>
      <c r="AQ578" s="529"/>
      <c r="AR578" s="529"/>
      <c r="AS578" s="529"/>
      <c r="AT578" s="529"/>
      <c r="AU578" s="529"/>
      <c r="AV578" s="529"/>
      <c r="AW578" s="529"/>
      <c r="AX578" s="530"/>
    </row>
    <row r="579" spans="1:50" x14ac:dyDescent="0.25">
      <c r="A579" s="533"/>
      <c r="B579" s="534"/>
      <c r="C579" s="534"/>
      <c r="D579" s="534"/>
      <c r="E579" s="534"/>
      <c r="F579" s="534"/>
      <c r="G579" s="534"/>
      <c r="H579" s="535" t="str">
        <f>IF(A578="","",LOOKUP(A578,BoonRef!$A$2:$A$430,BoonRef!$Q$2:$Q$430))</f>
        <v/>
      </c>
      <c r="I579" s="535"/>
      <c r="J579" s="529"/>
      <c r="K579" s="529"/>
      <c r="L579" s="529"/>
      <c r="M579" s="529"/>
      <c r="N579" s="529"/>
      <c r="O579" s="529"/>
      <c r="P579" s="529"/>
      <c r="Q579" s="529"/>
      <c r="R579" s="529"/>
      <c r="S579" s="529"/>
      <c r="T579" s="529"/>
      <c r="U579" s="529"/>
      <c r="V579" s="529"/>
      <c r="W579" s="529"/>
      <c r="X579" s="529"/>
      <c r="Y579" s="530"/>
      <c r="Z579" s="533"/>
      <c r="AA579" s="534"/>
      <c r="AB579" s="534"/>
      <c r="AC579" s="534"/>
      <c r="AD579" s="534"/>
      <c r="AE579" s="535"/>
      <c r="AF579" s="535"/>
      <c r="AG579" s="529"/>
      <c r="AH579" s="529"/>
      <c r="AI579" s="529"/>
      <c r="AJ579" s="529"/>
      <c r="AK579" s="529"/>
      <c r="AL579" s="529"/>
      <c r="AM579" s="529"/>
      <c r="AN579" s="529"/>
      <c r="AO579" s="529"/>
      <c r="AP579" s="529"/>
      <c r="AQ579" s="529"/>
      <c r="AR579" s="529"/>
      <c r="AS579" s="529"/>
      <c r="AT579" s="529"/>
      <c r="AU579" s="529"/>
      <c r="AV579" s="529"/>
      <c r="AW579" s="529"/>
      <c r="AX579" s="530"/>
    </row>
    <row r="580" spans="1:50" x14ac:dyDescent="0.25">
      <c r="A580" s="536" t="str">
        <f>IF(A578="","",LOOKUP(A578,BoonRef!$A$2:$A$430,BoonRef!$O$2:$O$430))</f>
        <v/>
      </c>
      <c r="B580" s="535"/>
      <c r="C580" s="535"/>
      <c r="D580" s="535"/>
      <c r="E580" s="535"/>
      <c r="F580" s="535"/>
      <c r="G580" s="535"/>
      <c r="H580" s="535"/>
      <c r="I580" s="535"/>
      <c r="J580" s="529"/>
      <c r="K580" s="529"/>
      <c r="L580" s="529"/>
      <c r="M580" s="529"/>
      <c r="N580" s="529"/>
      <c r="O580" s="529"/>
      <c r="P580" s="529"/>
      <c r="Q580" s="529"/>
      <c r="R580" s="529"/>
      <c r="S580" s="529"/>
      <c r="T580" s="529"/>
      <c r="U580" s="529"/>
      <c r="V580" s="529"/>
      <c r="W580" s="529"/>
      <c r="X580" s="529"/>
      <c r="Y580" s="530"/>
      <c r="Z580" s="536" t="str">
        <f>IF(Z578="","",LOOKUP(Z578,KanckRef!$A$2:$A$170,KanckRef!$D$2:$D$170))</f>
        <v/>
      </c>
      <c r="AA580" s="535"/>
      <c r="AB580" s="535"/>
      <c r="AC580" s="535"/>
      <c r="AD580" s="535"/>
      <c r="AE580" s="535"/>
      <c r="AF580" s="535"/>
      <c r="AG580" s="529"/>
      <c r="AH580" s="529"/>
      <c r="AI580" s="529"/>
      <c r="AJ580" s="529"/>
      <c r="AK580" s="529"/>
      <c r="AL580" s="529"/>
      <c r="AM580" s="529"/>
      <c r="AN580" s="529"/>
      <c r="AO580" s="529"/>
      <c r="AP580" s="529"/>
      <c r="AQ580" s="529"/>
      <c r="AR580" s="529"/>
      <c r="AS580" s="529"/>
      <c r="AT580" s="529"/>
      <c r="AU580" s="529"/>
      <c r="AV580" s="529"/>
      <c r="AW580" s="529"/>
      <c r="AX580" s="530"/>
    </row>
    <row r="581" spans="1:50" x14ac:dyDescent="0.25">
      <c r="A581" s="536" t="str">
        <f>IF(A578="","",LOOKUP(A578,BoonRef!$A$2:$A$430,BoonRef!$N$2:$N$430))</f>
        <v/>
      </c>
      <c r="B581" s="535"/>
      <c r="C581" s="535"/>
      <c r="D581" s="535"/>
      <c r="E581" s="535"/>
      <c r="F581" s="535"/>
      <c r="G581" s="535"/>
      <c r="H581" s="535"/>
      <c r="I581" s="535"/>
      <c r="J581" s="529"/>
      <c r="K581" s="529"/>
      <c r="L581" s="529"/>
      <c r="M581" s="529"/>
      <c r="N581" s="529"/>
      <c r="O581" s="529"/>
      <c r="P581" s="529"/>
      <c r="Q581" s="529"/>
      <c r="R581" s="529"/>
      <c r="S581" s="529"/>
      <c r="T581" s="529"/>
      <c r="U581" s="529"/>
      <c r="V581" s="529"/>
      <c r="W581" s="529"/>
      <c r="X581" s="529"/>
      <c r="Y581" s="530"/>
      <c r="Z581" s="536"/>
      <c r="AA581" s="535"/>
      <c r="AB581" s="535"/>
      <c r="AC581" s="535"/>
      <c r="AD581" s="535"/>
      <c r="AE581" s="535"/>
      <c r="AF581" s="535"/>
      <c r="AG581" s="529"/>
      <c r="AH581" s="529"/>
      <c r="AI581" s="529"/>
      <c r="AJ581" s="529"/>
      <c r="AK581" s="529"/>
      <c r="AL581" s="529"/>
      <c r="AM581" s="529"/>
      <c r="AN581" s="529"/>
      <c r="AO581" s="529"/>
      <c r="AP581" s="529"/>
      <c r="AQ581" s="529"/>
      <c r="AR581" s="529"/>
      <c r="AS581" s="529"/>
      <c r="AT581" s="529"/>
      <c r="AU581" s="529"/>
      <c r="AV581" s="529"/>
      <c r="AW581" s="529"/>
      <c r="AX581" s="530"/>
    </row>
    <row r="582" spans="1:50" ht="15.75" thickBot="1" x14ac:dyDescent="0.3">
      <c r="A582" s="537"/>
      <c r="B582" s="538"/>
      <c r="C582" s="538"/>
      <c r="D582" s="538"/>
      <c r="E582" s="538"/>
      <c r="F582" s="538"/>
      <c r="G582" s="538"/>
      <c r="H582" s="538"/>
      <c r="I582" s="538"/>
      <c r="J582" s="531"/>
      <c r="K582" s="531"/>
      <c r="L582" s="531"/>
      <c r="M582" s="531"/>
      <c r="N582" s="531"/>
      <c r="O582" s="531"/>
      <c r="P582" s="531"/>
      <c r="Q582" s="531"/>
      <c r="R582" s="531"/>
      <c r="S582" s="531"/>
      <c r="T582" s="531"/>
      <c r="U582" s="531"/>
      <c r="V582" s="531"/>
      <c r="W582" s="531"/>
      <c r="X582" s="531"/>
      <c r="Y582" s="532"/>
      <c r="Z582" s="537"/>
      <c r="AA582" s="538"/>
      <c r="AB582" s="538"/>
      <c r="AC582" s="538"/>
      <c r="AD582" s="538"/>
      <c r="AE582" s="538"/>
      <c r="AF582" s="538"/>
      <c r="AG582" s="531"/>
      <c r="AH582" s="531"/>
      <c r="AI582" s="531"/>
      <c r="AJ582" s="531"/>
      <c r="AK582" s="531"/>
      <c r="AL582" s="531"/>
      <c r="AM582" s="531"/>
      <c r="AN582" s="531"/>
      <c r="AO582" s="531"/>
      <c r="AP582" s="531"/>
      <c r="AQ582" s="531"/>
      <c r="AR582" s="531"/>
      <c r="AS582" s="531"/>
      <c r="AT582" s="531"/>
      <c r="AU582" s="531"/>
      <c r="AV582" s="531"/>
      <c r="AW582" s="531"/>
      <c r="AX582" s="532"/>
    </row>
    <row r="583" spans="1:50" x14ac:dyDescent="0.25">
      <c r="A583" s="524"/>
      <c r="B583" s="525"/>
      <c r="C583" s="525"/>
      <c r="D583" s="525"/>
      <c r="E583" s="525"/>
      <c r="F583" s="525"/>
      <c r="G583" s="525"/>
      <c r="H583" s="526" t="str">
        <f>IF(A584="","",LOOKUP(A584,BoonRef!$A$2:$A$430,BoonRef!$C$2:$C$430))</f>
        <v/>
      </c>
      <c r="I583" s="526"/>
      <c r="J583" s="527"/>
      <c r="K583" s="527"/>
      <c r="L583" s="527"/>
      <c r="M583" s="527"/>
      <c r="N583" s="527"/>
      <c r="O583" s="527"/>
      <c r="P583" s="527"/>
      <c r="Q583" s="527"/>
      <c r="R583" s="527"/>
      <c r="S583" s="527"/>
      <c r="T583" s="527"/>
      <c r="U583" s="527"/>
      <c r="V583" s="527"/>
      <c r="W583" s="527"/>
      <c r="X583" s="527"/>
      <c r="Y583" s="528"/>
      <c r="Z583" s="524"/>
      <c r="AA583" s="525"/>
      <c r="AB583" s="525"/>
      <c r="AC583" s="525"/>
      <c r="AD583" s="525"/>
      <c r="AE583" s="526" t="str">
        <f>IF(Z584="","",LOOKUP(Z584,KanckRef!$A$2:$A$170,KanckRef!$E$2:$E$170))</f>
        <v/>
      </c>
      <c r="AF583" s="526"/>
      <c r="AG583" s="527"/>
      <c r="AH583" s="527"/>
      <c r="AI583" s="527"/>
      <c r="AJ583" s="527"/>
      <c r="AK583" s="527"/>
      <c r="AL583" s="527"/>
      <c r="AM583" s="527"/>
      <c r="AN583" s="527"/>
      <c r="AO583" s="527"/>
      <c r="AP583" s="527"/>
      <c r="AQ583" s="527"/>
      <c r="AR583" s="527"/>
      <c r="AS583" s="527"/>
      <c r="AT583" s="527"/>
      <c r="AU583" s="527"/>
      <c r="AV583" s="527"/>
      <c r="AW583" s="527"/>
      <c r="AX583" s="528"/>
    </row>
    <row r="584" spans="1:50" x14ac:dyDescent="0.25">
      <c r="A584" s="533"/>
      <c r="B584" s="534"/>
      <c r="C584" s="534"/>
      <c r="D584" s="534"/>
      <c r="E584" s="534"/>
      <c r="F584" s="534"/>
      <c r="G584" s="534"/>
      <c r="H584" s="535" t="str">
        <f>IF(A584="","",LOOKUP(A584,BoonRef!$A$2:$A$430,BoonRef!$P$2:$P$430))</f>
        <v/>
      </c>
      <c r="I584" s="535"/>
      <c r="J584" s="529"/>
      <c r="K584" s="529"/>
      <c r="L584" s="529"/>
      <c r="M584" s="529"/>
      <c r="N584" s="529"/>
      <c r="O584" s="529"/>
      <c r="P584" s="529"/>
      <c r="Q584" s="529"/>
      <c r="R584" s="529"/>
      <c r="S584" s="529"/>
      <c r="T584" s="529"/>
      <c r="U584" s="529"/>
      <c r="V584" s="529"/>
      <c r="W584" s="529"/>
      <c r="X584" s="529"/>
      <c r="Y584" s="530"/>
      <c r="Z584" s="533"/>
      <c r="AA584" s="534"/>
      <c r="AB584" s="534"/>
      <c r="AC584" s="534"/>
      <c r="AD584" s="534"/>
      <c r="AE584" s="535" t="str">
        <f>IF(Z584="","",LOOKUP(Z584,KanckRef!$A$2:$A$170,KanckRef!$F$2:$F$170))</f>
        <v/>
      </c>
      <c r="AF584" s="535"/>
      <c r="AG584" s="529"/>
      <c r="AH584" s="529"/>
      <c r="AI584" s="529"/>
      <c r="AJ584" s="529"/>
      <c r="AK584" s="529"/>
      <c r="AL584" s="529"/>
      <c r="AM584" s="529"/>
      <c r="AN584" s="529"/>
      <c r="AO584" s="529"/>
      <c r="AP584" s="529"/>
      <c r="AQ584" s="529"/>
      <c r="AR584" s="529"/>
      <c r="AS584" s="529"/>
      <c r="AT584" s="529"/>
      <c r="AU584" s="529"/>
      <c r="AV584" s="529"/>
      <c r="AW584" s="529"/>
      <c r="AX584" s="530"/>
    </row>
    <row r="585" spans="1:50" x14ac:dyDescent="0.25">
      <c r="A585" s="533"/>
      <c r="B585" s="534"/>
      <c r="C585" s="534"/>
      <c r="D585" s="534"/>
      <c r="E585" s="534"/>
      <c r="F585" s="534"/>
      <c r="G585" s="534"/>
      <c r="H585" s="535" t="str">
        <f>IF(A584="","",LOOKUP(A584,BoonRef!$A$2:$A$430,BoonRef!$Q$2:$Q$430))</f>
        <v/>
      </c>
      <c r="I585" s="535"/>
      <c r="J585" s="529"/>
      <c r="K585" s="529"/>
      <c r="L585" s="529"/>
      <c r="M585" s="529"/>
      <c r="N585" s="529"/>
      <c r="O585" s="529"/>
      <c r="P585" s="529"/>
      <c r="Q585" s="529"/>
      <c r="R585" s="529"/>
      <c r="S585" s="529"/>
      <c r="T585" s="529"/>
      <c r="U585" s="529"/>
      <c r="V585" s="529"/>
      <c r="W585" s="529"/>
      <c r="X585" s="529"/>
      <c r="Y585" s="530"/>
      <c r="Z585" s="533"/>
      <c r="AA585" s="534"/>
      <c r="AB585" s="534"/>
      <c r="AC585" s="534"/>
      <c r="AD585" s="534"/>
      <c r="AE585" s="535"/>
      <c r="AF585" s="535"/>
      <c r="AG585" s="529"/>
      <c r="AH585" s="529"/>
      <c r="AI585" s="529"/>
      <c r="AJ585" s="529"/>
      <c r="AK585" s="529"/>
      <c r="AL585" s="529"/>
      <c r="AM585" s="529"/>
      <c r="AN585" s="529"/>
      <c r="AO585" s="529"/>
      <c r="AP585" s="529"/>
      <c r="AQ585" s="529"/>
      <c r="AR585" s="529"/>
      <c r="AS585" s="529"/>
      <c r="AT585" s="529"/>
      <c r="AU585" s="529"/>
      <c r="AV585" s="529"/>
      <c r="AW585" s="529"/>
      <c r="AX585" s="530"/>
    </row>
    <row r="586" spans="1:50" x14ac:dyDescent="0.25">
      <c r="A586" s="536" t="str">
        <f>IF(A584="","",LOOKUP(A584,BoonRef!$A$2:$A$430,BoonRef!$O$2:$O$430))</f>
        <v/>
      </c>
      <c r="B586" s="535"/>
      <c r="C586" s="535"/>
      <c r="D586" s="535"/>
      <c r="E586" s="535"/>
      <c r="F586" s="535"/>
      <c r="G586" s="535"/>
      <c r="H586" s="535"/>
      <c r="I586" s="535"/>
      <c r="J586" s="529"/>
      <c r="K586" s="529"/>
      <c r="L586" s="529"/>
      <c r="M586" s="529"/>
      <c r="N586" s="529"/>
      <c r="O586" s="529"/>
      <c r="P586" s="529"/>
      <c r="Q586" s="529"/>
      <c r="R586" s="529"/>
      <c r="S586" s="529"/>
      <c r="T586" s="529"/>
      <c r="U586" s="529"/>
      <c r="V586" s="529"/>
      <c r="W586" s="529"/>
      <c r="X586" s="529"/>
      <c r="Y586" s="530"/>
      <c r="Z586" s="536" t="str">
        <f>IF(Z584="","",LOOKUP(Z584,KanckRef!$A$2:$A$170,KanckRef!$D$2:$D$170))</f>
        <v/>
      </c>
      <c r="AA586" s="535"/>
      <c r="AB586" s="535"/>
      <c r="AC586" s="535"/>
      <c r="AD586" s="535"/>
      <c r="AE586" s="535"/>
      <c r="AF586" s="535"/>
      <c r="AG586" s="529"/>
      <c r="AH586" s="529"/>
      <c r="AI586" s="529"/>
      <c r="AJ586" s="529"/>
      <c r="AK586" s="529"/>
      <c r="AL586" s="529"/>
      <c r="AM586" s="529"/>
      <c r="AN586" s="529"/>
      <c r="AO586" s="529"/>
      <c r="AP586" s="529"/>
      <c r="AQ586" s="529"/>
      <c r="AR586" s="529"/>
      <c r="AS586" s="529"/>
      <c r="AT586" s="529"/>
      <c r="AU586" s="529"/>
      <c r="AV586" s="529"/>
      <c r="AW586" s="529"/>
      <c r="AX586" s="530"/>
    </row>
    <row r="587" spans="1:50" x14ac:dyDescent="0.25">
      <c r="A587" s="536" t="str">
        <f>IF(A584="","",LOOKUP(A584,BoonRef!$A$2:$A$430,BoonRef!$N$2:$N$430))</f>
        <v/>
      </c>
      <c r="B587" s="535"/>
      <c r="C587" s="535"/>
      <c r="D587" s="535"/>
      <c r="E587" s="535"/>
      <c r="F587" s="535"/>
      <c r="G587" s="535"/>
      <c r="H587" s="535"/>
      <c r="I587" s="535"/>
      <c r="J587" s="529"/>
      <c r="K587" s="529"/>
      <c r="L587" s="529"/>
      <c r="M587" s="529"/>
      <c r="N587" s="529"/>
      <c r="O587" s="529"/>
      <c r="P587" s="529"/>
      <c r="Q587" s="529"/>
      <c r="R587" s="529"/>
      <c r="S587" s="529"/>
      <c r="T587" s="529"/>
      <c r="U587" s="529"/>
      <c r="V587" s="529"/>
      <c r="W587" s="529"/>
      <c r="X587" s="529"/>
      <c r="Y587" s="530"/>
      <c r="Z587" s="536"/>
      <c r="AA587" s="535"/>
      <c r="AB587" s="535"/>
      <c r="AC587" s="535"/>
      <c r="AD587" s="535"/>
      <c r="AE587" s="535"/>
      <c r="AF587" s="535"/>
      <c r="AG587" s="529"/>
      <c r="AH587" s="529"/>
      <c r="AI587" s="529"/>
      <c r="AJ587" s="529"/>
      <c r="AK587" s="529"/>
      <c r="AL587" s="529"/>
      <c r="AM587" s="529"/>
      <c r="AN587" s="529"/>
      <c r="AO587" s="529"/>
      <c r="AP587" s="529"/>
      <c r="AQ587" s="529"/>
      <c r="AR587" s="529"/>
      <c r="AS587" s="529"/>
      <c r="AT587" s="529"/>
      <c r="AU587" s="529"/>
      <c r="AV587" s="529"/>
      <c r="AW587" s="529"/>
      <c r="AX587" s="530"/>
    </row>
    <row r="588" spans="1:50" ht="15.75" thickBot="1" x14ac:dyDescent="0.3">
      <c r="A588" s="537"/>
      <c r="B588" s="538"/>
      <c r="C588" s="538"/>
      <c r="D588" s="538"/>
      <c r="E588" s="538"/>
      <c r="F588" s="538"/>
      <c r="G588" s="538"/>
      <c r="H588" s="538"/>
      <c r="I588" s="538"/>
      <c r="J588" s="531"/>
      <c r="K588" s="531"/>
      <c r="L588" s="531"/>
      <c r="M588" s="531"/>
      <c r="N588" s="531"/>
      <c r="O588" s="531"/>
      <c r="P588" s="531"/>
      <c r="Q588" s="531"/>
      <c r="R588" s="531"/>
      <c r="S588" s="531"/>
      <c r="T588" s="531"/>
      <c r="U588" s="531"/>
      <c r="V588" s="531"/>
      <c r="W588" s="531"/>
      <c r="X588" s="531"/>
      <c r="Y588" s="532"/>
      <c r="Z588" s="537"/>
      <c r="AA588" s="538"/>
      <c r="AB588" s="538"/>
      <c r="AC588" s="538"/>
      <c r="AD588" s="538"/>
      <c r="AE588" s="538"/>
      <c r="AF588" s="538"/>
      <c r="AG588" s="531"/>
      <c r="AH588" s="531"/>
      <c r="AI588" s="531"/>
      <c r="AJ588" s="531"/>
      <c r="AK588" s="531"/>
      <c r="AL588" s="531"/>
      <c r="AM588" s="531"/>
      <c r="AN588" s="531"/>
      <c r="AO588" s="531"/>
      <c r="AP588" s="531"/>
      <c r="AQ588" s="531"/>
      <c r="AR588" s="531"/>
      <c r="AS588" s="531"/>
      <c r="AT588" s="531"/>
      <c r="AU588" s="531"/>
      <c r="AV588" s="531"/>
      <c r="AW588" s="531"/>
      <c r="AX588" s="532"/>
    </row>
    <row r="589" spans="1:50" x14ac:dyDescent="0.25">
      <c r="A589" s="524"/>
      <c r="B589" s="525"/>
      <c r="C589" s="525"/>
      <c r="D589" s="525"/>
      <c r="E589" s="525"/>
      <c r="F589" s="525"/>
      <c r="G589" s="525"/>
      <c r="H589" s="526" t="str">
        <f>IF(A590="","",LOOKUP(A590,BoonRef!$A$2:$A$430,BoonRef!$C$2:$C$430))</f>
        <v/>
      </c>
      <c r="I589" s="526"/>
      <c r="J589" s="527"/>
      <c r="K589" s="527"/>
      <c r="L589" s="527"/>
      <c r="M589" s="527"/>
      <c r="N589" s="527"/>
      <c r="O589" s="527"/>
      <c r="P589" s="527"/>
      <c r="Q589" s="527"/>
      <c r="R589" s="527"/>
      <c r="S589" s="527"/>
      <c r="T589" s="527"/>
      <c r="U589" s="527"/>
      <c r="V589" s="527"/>
      <c r="W589" s="527"/>
      <c r="X589" s="527"/>
      <c r="Y589" s="528"/>
      <c r="Z589" s="524"/>
      <c r="AA589" s="525"/>
      <c r="AB589" s="525"/>
      <c r="AC589" s="525"/>
      <c r="AD589" s="525"/>
      <c r="AE589" s="526" t="str">
        <f>IF(Z590="","",LOOKUP(Z590,KanckRef!$A$2:$A$170,KanckRef!$E$2:$E$170))</f>
        <v/>
      </c>
      <c r="AF589" s="526"/>
      <c r="AG589" s="527"/>
      <c r="AH589" s="527"/>
      <c r="AI589" s="527"/>
      <c r="AJ589" s="527"/>
      <c r="AK589" s="527"/>
      <c r="AL589" s="527"/>
      <c r="AM589" s="527"/>
      <c r="AN589" s="527"/>
      <c r="AO589" s="527"/>
      <c r="AP589" s="527"/>
      <c r="AQ589" s="527"/>
      <c r="AR589" s="527"/>
      <c r="AS589" s="527"/>
      <c r="AT589" s="527"/>
      <c r="AU589" s="527"/>
      <c r="AV589" s="527"/>
      <c r="AW589" s="527"/>
      <c r="AX589" s="528"/>
    </row>
    <row r="590" spans="1:50" x14ac:dyDescent="0.25">
      <c r="A590" s="533"/>
      <c r="B590" s="534"/>
      <c r="C590" s="534"/>
      <c r="D590" s="534"/>
      <c r="E590" s="534"/>
      <c r="F590" s="534"/>
      <c r="G590" s="534"/>
      <c r="H590" s="535" t="str">
        <f>IF(A590="","",LOOKUP(A590,BoonRef!$A$2:$A$430,BoonRef!$P$2:$P$430))</f>
        <v/>
      </c>
      <c r="I590" s="535"/>
      <c r="J590" s="529"/>
      <c r="K590" s="529"/>
      <c r="L590" s="529"/>
      <c r="M590" s="529"/>
      <c r="N590" s="529"/>
      <c r="O590" s="529"/>
      <c r="P590" s="529"/>
      <c r="Q590" s="529"/>
      <c r="R590" s="529"/>
      <c r="S590" s="529"/>
      <c r="T590" s="529"/>
      <c r="U590" s="529"/>
      <c r="V590" s="529"/>
      <c r="W590" s="529"/>
      <c r="X590" s="529"/>
      <c r="Y590" s="530"/>
      <c r="Z590" s="533"/>
      <c r="AA590" s="534"/>
      <c r="AB590" s="534"/>
      <c r="AC590" s="534"/>
      <c r="AD590" s="534"/>
      <c r="AE590" s="535" t="str">
        <f>IF(Z590="","",LOOKUP(Z590,KanckRef!$A$2:$A$170,KanckRef!$F$2:$F$170))</f>
        <v/>
      </c>
      <c r="AF590" s="535"/>
      <c r="AG590" s="529"/>
      <c r="AH590" s="529"/>
      <c r="AI590" s="529"/>
      <c r="AJ590" s="529"/>
      <c r="AK590" s="529"/>
      <c r="AL590" s="529"/>
      <c r="AM590" s="529"/>
      <c r="AN590" s="529"/>
      <c r="AO590" s="529"/>
      <c r="AP590" s="529"/>
      <c r="AQ590" s="529"/>
      <c r="AR590" s="529"/>
      <c r="AS590" s="529"/>
      <c r="AT590" s="529"/>
      <c r="AU590" s="529"/>
      <c r="AV590" s="529"/>
      <c r="AW590" s="529"/>
      <c r="AX590" s="530"/>
    </row>
    <row r="591" spans="1:50" x14ac:dyDescent="0.25">
      <c r="A591" s="533"/>
      <c r="B591" s="534"/>
      <c r="C591" s="534"/>
      <c r="D591" s="534"/>
      <c r="E591" s="534"/>
      <c r="F591" s="534"/>
      <c r="G591" s="534"/>
      <c r="H591" s="535" t="str">
        <f>IF(A590="","",LOOKUP(A590,BoonRef!$A$2:$A$430,BoonRef!$Q$2:$Q$430))</f>
        <v/>
      </c>
      <c r="I591" s="535"/>
      <c r="J591" s="529"/>
      <c r="K591" s="529"/>
      <c r="L591" s="529"/>
      <c r="M591" s="529"/>
      <c r="N591" s="529"/>
      <c r="O591" s="529"/>
      <c r="P591" s="529"/>
      <c r="Q591" s="529"/>
      <c r="R591" s="529"/>
      <c r="S591" s="529"/>
      <c r="T591" s="529"/>
      <c r="U591" s="529"/>
      <c r="V591" s="529"/>
      <c r="W591" s="529"/>
      <c r="X591" s="529"/>
      <c r="Y591" s="530"/>
      <c r="Z591" s="533"/>
      <c r="AA591" s="534"/>
      <c r="AB591" s="534"/>
      <c r="AC591" s="534"/>
      <c r="AD591" s="534"/>
      <c r="AE591" s="535"/>
      <c r="AF591" s="535"/>
      <c r="AG591" s="529"/>
      <c r="AH591" s="529"/>
      <c r="AI591" s="529"/>
      <c r="AJ591" s="529"/>
      <c r="AK591" s="529"/>
      <c r="AL591" s="529"/>
      <c r="AM591" s="529"/>
      <c r="AN591" s="529"/>
      <c r="AO591" s="529"/>
      <c r="AP591" s="529"/>
      <c r="AQ591" s="529"/>
      <c r="AR591" s="529"/>
      <c r="AS591" s="529"/>
      <c r="AT591" s="529"/>
      <c r="AU591" s="529"/>
      <c r="AV591" s="529"/>
      <c r="AW591" s="529"/>
      <c r="AX591" s="530"/>
    </row>
    <row r="592" spans="1:50" x14ac:dyDescent="0.25">
      <c r="A592" s="536" t="str">
        <f>IF(A590="","",LOOKUP(A590,BoonRef!$A$2:$A$430,BoonRef!$O$2:$O$430))</f>
        <v/>
      </c>
      <c r="B592" s="535"/>
      <c r="C592" s="535"/>
      <c r="D592" s="535"/>
      <c r="E592" s="535"/>
      <c r="F592" s="535"/>
      <c r="G592" s="535"/>
      <c r="H592" s="535"/>
      <c r="I592" s="535"/>
      <c r="J592" s="529"/>
      <c r="K592" s="529"/>
      <c r="L592" s="529"/>
      <c r="M592" s="529"/>
      <c r="N592" s="529"/>
      <c r="O592" s="529"/>
      <c r="P592" s="529"/>
      <c r="Q592" s="529"/>
      <c r="R592" s="529"/>
      <c r="S592" s="529"/>
      <c r="T592" s="529"/>
      <c r="U592" s="529"/>
      <c r="V592" s="529"/>
      <c r="W592" s="529"/>
      <c r="X592" s="529"/>
      <c r="Y592" s="530"/>
      <c r="Z592" s="536" t="str">
        <f>IF(Z590="","",LOOKUP(Z590,KanckRef!$A$2:$A$170,KanckRef!$D$2:$D$170))</f>
        <v/>
      </c>
      <c r="AA592" s="535"/>
      <c r="AB592" s="535"/>
      <c r="AC592" s="535"/>
      <c r="AD592" s="535"/>
      <c r="AE592" s="535"/>
      <c r="AF592" s="535"/>
      <c r="AG592" s="529"/>
      <c r="AH592" s="529"/>
      <c r="AI592" s="529"/>
      <c r="AJ592" s="529"/>
      <c r="AK592" s="529"/>
      <c r="AL592" s="529"/>
      <c r="AM592" s="529"/>
      <c r="AN592" s="529"/>
      <c r="AO592" s="529"/>
      <c r="AP592" s="529"/>
      <c r="AQ592" s="529"/>
      <c r="AR592" s="529"/>
      <c r="AS592" s="529"/>
      <c r="AT592" s="529"/>
      <c r="AU592" s="529"/>
      <c r="AV592" s="529"/>
      <c r="AW592" s="529"/>
      <c r="AX592" s="530"/>
    </row>
    <row r="593" spans="1:50" x14ac:dyDescent="0.25">
      <c r="A593" s="536" t="str">
        <f>IF(A590="","",LOOKUP(A590,BoonRef!$A$2:$A$430,BoonRef!$N$2:$N$430))</f>
        <v/>
      </c>
      <c r="B593" s="535"/>
      <c r="C593" s="535"/>
      <c r="D593" s="535"/>
      <c r="E593" s="535"/>
      <c r="F593" s="535"/>
      <c r="G593" s="535"/>
      <c r="H593" s="535"/>
      <c r="I593" s="535"/>
      <c r="J593" s="529"/>
      <c r="K593" s="529"/>
      <c r="L593" s="529"/>
      <c r="M593" s="529"/>
      <c r="N593" s="529"/>
      <c r="O593" s="529"/>
      <c r="P593" s="529"/>
      <c r="Q593" s="529"/>
      <c r="R593" s="529"/>
      <c r="S593" s="529"/>
      <c r="T593" s="529"/>
      <c r="U593" s="529"/>
      <c r="V593" s="529"/>
      <c r="W593" s="529"/>
      <c r="X593" s="529"/>
      <c r="Y593" s="530"/>
      <c r="Z593" s="536"/>
      <c r="AA593" s="535"/>
      <c r="AB593" s="535"/>
      <c r="AC593" s="535"/>
      <c r="AD593" s="535"/>
      <c r="AE593" s="535"/>
      <c r="AF593" s="535"/>
      <c r="AG593" s="529"/>
      <c r="AH593" s="529"/>
      <c r="AI593" s="529"/>
      <c r="AJ593" s="529"/>
      <c r="AK593" s="529"/>
      <c r="AL593" s="529"/>
      <c r="AM593" s="529"/>
      <c r="AN593" s="529"/>
      <c r="AO593" s="529"/>
      <c r="AP593" s="529"/>
      <c r="AQ593" s="529"/>
      <c r="AR593" s="529"/>
      <c r="AS593" s="529"/>
      <c r="AT593" s="529"/>
      <c r="AU593" s="529"/>
      <c r="AV593" s="529"/>
      <c r="AW593" s="529"/>
      <c r="AX593" s="530"/>
    </row>
    <row r="594" spans="1:50" ht="15.75" thickBot="1" x14ac:dyDescent="0.3">
      <c r="A594" s="537"/>
      <c r="B594" s="538"/>
      <c r="C594" s="538"/>
      <c r="D594" s="538"/>
      <c r="E594" s="538"/>
      <c r="F594" s="538"/>
      <c r="G594" s="538"/>
      <c r="H594" s="538"/>
      <c r="I594" s="538"/>
      <c r="J594" s="531"/>
      <c r="K594" s="531"/>
      <c r="L594" s="531"/>
      <c r="M594" s="531"/>
      <c r="N594" s="531"/>
      <c r="O594" s="531"/>
      <c r="P594" s="531"/>
      <c r="Q594" s="531"/>
      <c r="R594" s="531"/>
      <c r="S594" s="531"/>
      <c r="T594" s="531"/>
      <c r="U594" s="531"/>
      <c r="V594" s="531"/>
      <c r="W594" s="531"/>
      <c r="X594" s="531"/>
      <c r="Y594" s="532"/>
      <c r="Z594" s="537"/>
      <c r="AA594" s="538"/>
      <c r="AB594" s="538"/>
      <c r="AC594" s="538"/>
      <c r="AD594" s="538"/>
      <c r="AE594" s="538"/>
      <c r="AF594" s="538"/>
      <c r="AG594" s="531"/>
      <c r="AH594" s="531"/>
      <c r="AI594" s="531"/>
      <c r="AJ594" s="531"/>
      <c r="AK594" s="531"/>
      <c r="AL594" s="531"/>
      <c r="AM594" s="531"/>
      <c r="AN594" s="531"/>
      <c r="AO594" s="531"/>
      <c r="AP594" s="531"/>
      <c r="AQ594" s="531"/>
      <c r="AR594" s="531"/>
      <c r="AS594" s="531"/>
      <c r="AT594" s="531"/>
      <c r="AU594" s="531"/>
      <c r="AV594" s="531"/>
      <c r="AW594" s="531"/>
      <c r="AX594" s="532"/>
    </row>
    <row r="595" spans="1:50" x14ac:dyDescent="0.25">
      <c r="A595" s="524"/>
      <c r="B595" s="525"/>
      <c r="C595" s="525"/>
      <c r="D595" s="525"/>
      <c r="E595" s="525"/>
      <c r="F595" s="525"/>
      <c r="G595" s="525"/>
      <c r="H595" s="526" t="str">
        <f>IF(A596="","",LOOKUP(A596,BoonRef!$A$2:$A$430,BoonRef!$C$2:$C$430))</f>
        <v/>
      </c>
      <c r="I595" s="526"/>
      <c r="J595" s="527"/>
      <c r="K595" s="527"/>
      <c r="L595" s="527"/>
      <c r="M595" s="527"/>
      <c r="N595" s="527"/>
      <c r="O595" s="527"/>
      <c r="P595" s="527"/>
      <c r="Q595" s="527"/>
      <c r="R595" s="527"/>
      <c r="S595" s="527"/>
      <c r="T595" s="527"/>
      <c r="U595" s="527"/>
      <c r="V595" s="527"/>
      <c r="W595" s="527"/>
      <c r="X595" s="527"/>
      <c r="Y595" s="528"/>
      <c r="Z595" s="524"/>
      <c r="AA595" s="525"/>
      <c r="AB595" s="525"/>
      <c r="AC595" s="525"/>
      <c r="AD595" s="525"/>
      <c r="AE595" s="526" t="str">
        <f>IF(Z596="","",LOOKUP(Z596,KanckRef!$A$2:$A$170,KanckRef!$E$2:$E$170))</f>
        <v/>
      </c>
      <c r="AF595" s="526"/>
      <c r="AG595" s="527"/>
      <c r="AH595" s="527"/>
      <c r="AI595" s="527"/>
      <c r="AJ595" s="527"/>
      <c r="AK595" s="527"/>
      <c r="AL595" s="527"/>
      <c r="AM595" s="527"/>
      <c r="AN595" s="527"/>
      <c r="AO595" s="527"/>
      <c r="AP595" s="527"/>
      <c r="AQ595" s="527"/>
      <c r="AR595" s="527"/>
      <c r="AS595" s="527"/>
      <c r="AT595" s="527"/>
      <c r="AU595" s="527"/>
      <c r="AV595" s="527"/>
      <c r="AW595" s="527"/>
      <c r="AX595" s="528"/>
    </row>
    <row r="596" spans="1:50" x14ac:dyDescent="0.25">
      <c r="A596" s="533"/>
      <c r="B596" s="534"/>
      <c r="C596" s="534"/>
      <c r="D596" s="534"/>
      <c r="E596" s="534"/>
      <c r="F596" s="534"/>
      <c r="G596" s="534"/>
      <c r="H596" s="535" t="str">
        <f>IF(A596="","",LOOKUP(A596,BoonRef!$A$2:$A$430,BoonRef!$P$2:$P$430))</f>
        <v/>
      </c>
      <c r="I596" s="535"/>
      <c r="J596" s="529"/>
      <c r="K596" s="529"/>
      <c r="L596" s="529"/>
      <c r="M596" s="529"/>
      <c r="N596" s="529"/>
      <c r="O596" s="529"/>
      <c r="P596" s="529"/>
      <c r="Q596" s="529"/>
      <c r="R596" s="529"/>
      <c r="S596" s="529"/>
      <c r="T596" s="529"/>
      <c r="U596" s="529"/>
      <c r="V596" s="529"/>
      <c r="W596" s="529"/>
      <c r="X596" s="529"/>
      <c r="Y596" s="530"/>
      <c r="Z596" s="533"/>
      <c r="AA596" s="534"/>
      <c r="AB596" s="534"/>
      <c r="AC596" s="534"/>
      <c r="AD596" s="534"/>
      <c r="AE596" s="535" t="str">
        <f>IF(Z596="","",LOOKUP(Z596,KanckRef!$A$2:$A$170,KanckRef!$F$2:$F$170))</f>
        <v/>
      </c>
      <c r="AF596" s="535"/>
      <c r="AG596" s="529"/>
      <c r="AH596" s="529"/>
      <c r="AI596" s="529"/>
      <c r="AJ596" s="529"/>
      <c r="AK596" s="529"/>
      <c r="AL596" s="529"/>
      <c r="AM596" s="529"/>
      <c r="AN596" s="529"/>
      <c r="AO596" s="529"/>
      <c r="AP596" s="529"/>
      <c r="AQ596" s="529"/>
      <c r="AR596" s="529"/>
      <c r="AS596" s="529"/>
      <c r="AT596" s="529"/>
      <c r="AU596" s="529"/>
      <c r="AV596" s="529"/>
      <c r="AW596" s="529"/>
      <c r="AX596" s="530"/>
    </row>
    <row r="597" spans="1:50" x14ac:dyDescent="0.25">
      <c r="A597" s="533"/>
      <c r="B597" s="534"/>
      <c r="C597" s="534"/>
      <c r="D597" s="534"/>
      <c r="E597" s="534"/>
      <c r="F597" s="534"/>
      <c r="G597" s="534"/>
      <c r="H597" s="535" t="str">
        <f>IF(A596="","",LOOKUP(A596,BoonRef!$A$2:$A$430,BoonRef!$Q$2:$Q$430))</f>
        <v/>
      </c>
      <c r="I597" s="535"/>
      <c r="J597" s="529"/>
      <c r="K597" s="529"/>
      <c r="L597" s="529"/>
      <c r="M597" s="529"/>
      <c r="N597" s="529"/>
      <c r="O597" s="529"/>
      <c r="P597" s="529"/>
      <c r="Q597" s="529"/>
      <c r="R597" s="529"/>
      <c r="S597" s="529"/>
      <c r="T597" s="529"/>
      <c r="U597" s="529"/>
      <c r="V597" s="529"/>
      <c r="W597" s="529"/>
      <c r="X597" s="529"/>
      <c r="Y597" s="530"/>
      <c r="Z597" s="533"/>
      <c r="AA597" s="534"/>
      <c r="AB597" s="534"/>
      <c r="AC597" s="534"/>
      <c r="AD597" s="534"/>
      <c r="AE597" s="535"/>
      <c r="AF597" s="535"/>
      <c r="AG597" s="529"/>
      <c r="AH597" s="529"/>
      <c r="AI597" s="529"/>
      <c r="AJ597" s="529"/>
      <c r="AK597" s="529"/>
      <c r="AL597" s="529"/>
      <c r="AM597" s="529"/>
      <c r="AN597" s="529"/>
      <c r="AO597" s="529"/>
      <c r="AP597" s="529"/>
      <c r="AQ597" s="529"/>
      <c r="AR597" s="529"/>
      <c r="AS597" s="529"/>
      <c r="AT597" s="529"/>
      <c r="AU597" s="529"/>
      <c r="AV597" s="529"/>
      <c r="AW597" s="529"/>
      <c r="AX597" s="530"/>
    </row>
    <row r="598" spans="1:50" x14ac:dyDescent="0.25">
      <c r="A598" s="536" t="str">
        <f>IF(A596="","",LOOKUP(A596,BoonRef!$A$2:$A$430,BoonRef!$O$2:$O$430))</f>
        <v/>
      </c>
      <c r="B598" s="535"/>
      <c r="C598" s="535"/>
      <c r="D598" s="535"/>
      <c r="E598" s="535"/>
      <c r="F598" s="535"/>
      <c r="G598" s="535"/>
      <c r="H598" s="535"/>
      <c r="I598" s="535"/>
      <c r="J598" s="529"/>
      <c r="K598" s="529"/>
      <c r="L598" s="529"/>
      <c r="M598" s="529"/>
      <c r="N598" s="529"/>
      <c r="O598" s="529"/>
      <c r="P598" s="529"/>
      <c r="Q598" s="529"/>
      <c r="R598" s="529"/>
      <c r="S598" s="529"/>
      <c r="T598" s="529"/>
      <c r="U598" s="529"/>
      <c r="V598" s="529"/>
      <c r="W598" s="529"/>
      <c r="X598" s="529"/>
      <c r="Y598" s="530"/>
      <c r="Z598" s="536" t="str">
        <f>IF(Z596="","",LOOKUP(Z596,KanckRef!$A$2:$A$170,KanckRef!$D$2:$D$170))</f>
        <v/>
      </c>
      <c r="AA598" s="535"/>
      <c r="AB598" s="535"/>
      <c r="AC598" s="535"/>
      <c r="AD598" s="535"/>
      <c r="AE598" s="535"/>
      <c r="AF598" s="535"/>
      <c r="AG598" s="529"/>
      <c r="AH598" s="529"/>
      <c r="AI598" s="529"/>
      <c r="AJ598" s="529"/>
      <c r="AK598" s="529"/>
      <c r="AL598" s="529"/>
      <c r="AM598" s="529"/>
      <c r="AN598" s="529"/>
      <c r="AO598" s="529"/>
      <c r="AP598" s="529"/>
      <c r="AQ598" s="529"/>
      <c r="AR598" s="529"/>
      <c r="AS598" s="529"/>
      <c r="AT598" s="529"/>
      <c r="AU598" s="529"/>
      <c r="AV598" s="529"/>
      <c r="AW598" s="529"/>
      <c r="AX598" s="530"/>
    </row>
    <row r="599" spans="1:50" x14ac:dyDescent="0.25">
      <c r="A599" s="536" t="str">
        <f>IF(A596="","",LOOKUP(A596,BoonRef!$A$2:$A$430,BoonRef!$N$2:$N$430))</f>
        <v/>
      </c>
      <c r="B599" s="535"/>
      <c r="C599" s="535"/>
      <c r="D599" s="535"/>
      <c r="E599" s="535"/>
      <c r="F599" s="535"/>
      <c r="G599" s="535"/>
      <c r="H599" s="535"/>
      <c r="I599" s="535"/>
      <c r="J599" s="529"/>
      <c r="K599" s="529"/>
      <c r="L599" s="529"/>
      <c r="M599" s="529"/>
      <c r="N599" s="529"/>
      <c r="O599" s="529"/>
      <c r="P599" s="529"/>
      <c r="Q599" s="529"/>
      <c r="R599" s="529"/>
      <c r="S599" s="529"/>
      <c r="T599" s="529"/>
      <c r="U599" s="529"/>
      <c r="V599" s="529"/>
      <c r="W599" s="529"/>
      <c r="X599" s="529"/>
      <c r="Y599" s="530"/>
      <c r="Z599" s="536"/>
      <c r="AA599" s="535"/>
      <c r="AB599" s="535"/>
      <c r="AC599" s="535"/>
      <c r="AD599" s="535"/>
      <c r="AE599" s="535"/>
      <c r="AF599" s="535"/>
      <c r="AG599" s="529"/>
      <c r="AH599" s="529"/>
      <c r="AI599" s="529"/>
      <c r="AJ599" s="529"/>
      <c r="AK599" s="529"/>
      <c r="AL599" s="529"/>
      <c r="AM599" s="529"/>
      <c r="AN599" s="529"/>
      <c r="AO599" s="529"/>
      <c r="AP599" s="529"/>
      <c r="AQ599" s="529"/>
      <c r="AR599" s="529"/>
      <c r="AS599" s="529"/>
      <c r="AT599" s="529"/>
      <c r="AU599" s="529"/>
      <c r="AV599" s="529"/>
      <c r="AW599" s="529"/>
      <c r="AX599" s="530"/>
    </row>
    <row r="600" spans="1:50" ht="15.75" thickBot="1" x14ac:dyDescent="0.3">
      <c r="A600" s="537"/>
      <c r="B600" s="538"/>
      <c r="C600" s="538"/>
      <c r="D600" s="538"/>
      <c r="E600" s="538"/>
      <c r="F600" s="538"/>
      <c r="G600" s="538"/>
      <c r="H600" s="538"/>
      <c r="I600" s="538"/>
      <c r="J600" s="531"/>
      <c r="K600" s="531"/>
      <c r="L600" s="531"/>
      <c r="M600" s="531"/>
      <c r="N600" s="531"/>
      <c r="O600" s="531"/>
      <c r="P600" s="531"/>
      <c r="Q600" s="531"/>
      <c r="R600" s="531"/>
      <c r="S600" s="531"/>
      <c r="T600" s="531"/>
      <c r="U600" s="531"/>
      <c r="V600" s="531"/>
      <c r="W600" s="531"/>
      <c r="X600" s="531"/>
      <c r="Y600" s="532"/>
      <c r="Z600" s="537"/>
      <c r="AA600" s="538"/>
      <c r="AB600" s="538"/>
      <c r="AC600" s="538"/>
      <c r="AD600" s="538"/>
      <c r="AE600" s="538"/>
      <c r="AF600" s="538"/>
      <c r="AG600" s="531"/>
      <c r="AH600" s="531"/>
      <c r="AI600" s="531"/>
      <c r="AJ600" s="531"/>
      <c r="AK600" s="531"/>
      <c r="AL600" s="531"/>
      <c r="AM600" s="531"/>
      <c r="AN600" s="531"/>
      <c r="AO600" s="531"/>
      <c r="AP600" s="531"/>
      <c r="AQ600" s="531"/>
      <c r="AR600" s="531"/>
      <c r="AS600" s="531"/>
      <c r="AT600" s="531"/>
      <c r="AU600" s="531"/>
      <c r="AV600" s="531"/>
      <c r="AW600" s="531"/>
      <c r="AX600" s="532"/>
    </row>
    <row r="601" spans="1:50" x14ac:dyDescent="0.25">
      <c r="A601" s="524"/>
      <c r="B601" s="525"/>
      <c r="C601" s="525"/>
      <c r="D601" s="525"/>
      <c r="E601" s="525"/>
      <c r="F601" s="525"/>
      <c r="G601" s="525"/>
      <c r="H601" s="526" t="str">
        <f>IF(A602="","",LOOKUP(A602,BoonRef!$A$2:$A$430,BoonRef!$C$2:$C$430))</f>
        <v/>
      </c>
      <c r="I601" s="526"/>
      <c r="J601" s="527"/>
      <c r="K601" s="527"/>
      <c r="L601" s="527"/>
      <c r="M601" s="527"/>
      <c r="N601" s="527"/>
      <c r="O601" s="527"/>
      <c r="P601" s="527"/>
      <c r="Q601" s="527"/>
      <c r="R601" s="527"/>
      <c r="S601" s="527"/>
      <c r="T601" s="527"/>
      <c r="U601" s="527"/>
      <c r="V601" s="527"/>
      <c r="W601" s="527"/>
      <c r="X601" s="527"/>
      <c r="Y601" s="528"/>
      <c r="Z601" s="524"/>
      <c r="AA601" s="525"/>
      <c r="AB601" s="525"/>
      <c r="AC601" s="525"/>
      <c r="AD601" s="525"/>
      <c r="AE601" s="526" t="str">
        <f>IF(Z602="","",LOOKUP(Z602,KanckRef!$A$2:$A$170,KanckRef!$E$2:$E$170))</f>
        <v/>
      </c>
      <c r="AF601" s="526"/>
      <c r="AG601" s="527"/>
      <c r="AH601" s="527"/>
      <c r="AI601" s="527"/>
      <c r="AJ601" s="527"/>
      <c r="AK601" s="527"/>
      <c r="AL601" s="527"/>
      <c r="AM601" s="527"/>
      <c r="AN601" s="527"/>
      <c r="AO601" s="527"/>
      <c r="AP601" s="527"/>
      <c r="AQ601" s="527"/>
      <c r="AR601" s="527"/>
      <c r="AS601" s="527"/>
      <c r="AT601" s="527"/>
      <c r="AU601" s="527"/>
      <c r="AV601" s="527"/>
      <c r="AW601" s="527"/>
      <c r="AX601" s="528"/>
    </row>
    <row r="602" spans="1:50" x14ac:dyDescent="0.25">
      <c r="A602" s="533"/>
      <c r="B602" s="534"/>
      <c r="C602" s="534"/>
      <c r="D602" s="534"/>
      <c r="E602" s="534"/>
      <c r="F602" s="534"/>
      <c r="G602" s="534"/>
      <c r="H602" s="535" t="str">
        <f>IF(A602="","",LOOKUP(A602,BoonRef!$A$2:$A$430,BoonRef!$P$2:$P$430))</f>
        <v/>
      </c>
      <c r="I602" s="535"/>
      <c r="J602" s="529"/>
      <c r="K602" s="529"/>
      <c r="L602" s="529"/>
      <c r="M602" s="529"/>
      <c r="N602" s="529"/>
      <c r="O602" s="529"/>
      <c r="P602" s="529"/>
      <c r="Q602" s="529"/>
      <c r="R602" s="529"/>
      <c r="S602" s="529"/>
      <c r="T602" s="529"/>
      <c r="U602" s="529"/>
      <c r="V602" s="529"/>
      <c r="W602" s="529"/>
      <c r="X602" s="529"/>
      <c r="Y602" s="530"/>
      <c r="Z602" s="533"/>
      <c r="AA602" s="534"/>
      <c r="AB602" s="534"/>
      <c r="AC602" s="534"/>
      <c r="AD602" s="534"/>
      <c r="AE602" s="535" t="str">
        <f>IF(Z602="","",LOOKUP(Z602,KanckRef!$A$2:$A$170,KanckRef!$F$2:$F$170))</f>
        <v/>
      </c>
      <c r="AF602" s="535"/>
      <c r="AG602" s="529"/>
      <c r="AH602" s="529"/>
      <c r="AI602" s="529"/>
      <c r="AJ602" s="529"/>
      <c r="AK602" s="529"/>
      <c r="AL602" s="529"/>
      <c r="AM602" s="529"/>
      <c r="AN602" s="529"/>
      <c r="AO602" s="529"/>
      <c r="AP602" s="529"/>
      <c r="AQ602" s="529"/>
      <c r="AR602" s="529"/>
      <c r="AS602" s="529"/>
      <c r="AT602" s="529"/>
      <c r="AU602" s="529"/>
      <c r="AV602" s="529"/>
      <c r="AW602" s="529"/>
      <c r="AX602" s="530"/>
    </row>
    <row r="603" spans="1:50" x14ac:dyDescent="0.25">
      <c r="A603" s="533"/>
      <c r="B603" s="534"/>
      <c r="C603" s="534"/>
      <c r="D603" s="534"/>
      <c r="E603" s="534"/>
      <c r="F603" s="534"/>
      <c r="G603" s="534"/>
      <c r="H603" s="535" t="str">
        <f>IF(A602="","",LOOKUP(A602,BoonRef!$A$2:$A$430,BoonRef!$Q$2:$Q$430))</f>
        <v/>
      </c>
      <c r="I603" s="535"/>
      <c r="J603" s="529"/>
      <c r="K603" s="529"/>
      <c r="L603" s="529"/>
      <c r="M603" s="529"/>
      <c r="N603" s="529"/>
      <c r="O603" s="529"/>
      <c r="P603" s="529"/>
      <c r="Q603" s="529"/>
      <c r="R603" s="529"/>
      <c r="S603" s="529"/>
      <c r="T603" s="529"/>
      <c r="U603" s="529"/>
      <c r="V603" s="529"/>
      <c r="W603" s="529"/>
      <c r="X603" s="529"/>
      <c r="Y603" s="530"/>
      <c r="Z603" s="533"/>
      <c r="AA603" s="534"/>
      <c r="AB603" s="534"/>
      <c r="AC603" s="534"/>
      <c r="AD603" s="534"/>
      <c r="AE603" s="535"/>
      <c r="AF603" s="535"/>
      <c r="AG603" s="529"/>
      <c r="AH603" s="529"/>
      <c r="AI603" s="529"/>
      <c r="AJ603" s="529"/>
      <c r="AK603" s="529"/>
      <c r="AL603" s="529"/>
      <c r="AM603" s="529"/>
      <c r="AN603" s="529"/>
      <c r="AO603" s="529"/>
      <c r="AP603" s="529"/>
      <c r="AQ603" s="529"/>
      <c r="AR603" s="529"/>
      <c r="AS603" s="529"/>
      <c r="AT603" s="529"/>
      <c r="AU603" s="529"/>
      <c r="AV603" s="529"/>
      <c r="AW603" s="529"/>
      <c r="AX603" s="530"/>
    </row>
    <row r="604" spans="1:50" x14ac:dyDescent="0.25">
      <c r="A604" s="536" t="str">
        <f>IF(A602="","",LOOKUP(A602,BoonRef!$A$2:$A$430,BoonRef!$O$2:$O$430))</f>
        <v/>
      </c>
      <c r="B604" s="535"/>
      <c r="C604" s="535"/>
      <c r="D604" s="535"/>
      <c r="E604" s="535"/>
      <c r="F604" s="535"/>
      <c r="G604" s="535"/>
      <c r="H604" s="535"/>
      <c r="I604" s="535"/>
      <c r="J604" s="529"/>
      <c r="K604" s="529"/>
      <c r="L604" s="529"/>
      <c r="M604" s="529"/>
      <c r="N604" s="529"/>
      <c r="O604" s="529"/>
      <c r="P604" s="529"/>
      <c r="Q604" s="529"/>
      <c r="R604" s="529"/>
      <c r="S604" s="529"/>
      <c r="T604" s="529"/>
      <c r="U604" s="529"/>
      <c r="V604" s="529"/>
      <c r="W604" s="529"/>
      <c r="X604" s="529"/>
      <c r="Y604" s="530"/>
      <c r="Z604" s="536" t="str">
        <f>IF(Z602="","",LOOKUP(Z602,KanckRef!$A$2:$A$170,KanckRef!$D$2:$D$170))</f>
        <v/>
      </c>
      <c r="AA604" s="535"/>
      <c r="AB604" s="535"/>
      <c r="AC604" s="535"/>
      <c r="AD604" s="535"/>
      <c r="AE604" s="535"/>
      <c r="AF604" s="535"/>
      <c r="AG604" s="529"/>
      <c r="AH604" s="529"/>
      <c r="AI604" s="529"/>
      <c r="AJ604" s="529"/>
      <c r="AK604" s="529"/>
      <c r="AL604" s="529"/>
      <c r="AM604" s="529"/>
      <c r="AN604" s="529"/>
      <c r="AO604" s="529"/>
      <c r="AP604" s="529"/>
      <c r="AQ604" s="529"/>
      <c r="AR604" s="529"/>
      <c r="AS604" s="529"/>
      <c r="AT604" s="529"/>
      <c r="AU604" s="529"/>
      <c r="AV604" s="529"/>
      <c r="AW604" s="529"/>
      <c r="AX604" s="530"/>
    </row>
    <row r="605" spans="1:50" x14ac:dyDescent="0.25">
      <c r="A605" s="536" t="str">
        <f>IF(A602="","",LOOKUP(A602,BoonRef!$A$2:$A$430,BoonRef!$N$2:$N$430))</f>
        <v/>
      </c>
      <c r="B605" s="535"/>
      <c r="C605" s="535"/>
      <c r="D605" s="535"/>
      <c r="E605" s="535"/>
      <c r="F605" s="535"/>
      <c r="G605" s="535"/>
      <c r="H605" s="535"/>
      <c r="I605" s="535"/>
      <c r="J605" s="529"/>
      <c r="K605" s="529"/>
      <c r="L605" s="529"/>
      <c r="M605" s="529"/>
      <c r="N605" s="529"/>
      <c r="O605" s="529"/>
      <c r="P605" s="529"/>
      <c r="Q605" s="529"/>
      <c r="R605" s="529"/>
      <c r="S605" s="529"/>
      <c r="T605" s="529"/>
      <c r="U605" s="529"/>
      <c r="V605" s="529"/>
      <c r="W605" s="529"/>
      <c r="X605" s="529"/>
      <c r="Y605" s="530"/>
      <c r="Z605" s="536"/>
      <c r="AA605" s="535"/>
      <c r="AB605" s="535"/>
      <c r="AC605" s="535"/>
      <c r="AD605" s="535"/>
      <c r="AE605" s="535"/>
      <c r="AF605" s="535"/>
      <c r="AG605" s="529"/>
      <c r="AH605" s="529"/>
      <c r="AI605" s="529"/>
      <c r="AJ605" s="529"/>
      <c r="AK605" s="529"/>
      <c r="AL605" s="529"/>
      <c r="AM605" s="529"/>
      <c r="AN605" s="529"/>
      <c r="AO605" s="529"/>
      <c r="AP605" s="529"/>
      <c r="AQ605" s="529"/>
      <c r="AR605" s="529"/>
      <c r="AS605" s="529"/>
      <c r="AT605" s="529"/>
      <c r="AU605" s="529"/>
      <c r="AV605" s="529"/>
      <c r="AW605" s="529"/>
      <c r="AX605" s="530"/>
    </row>
    <row r="606" spans="1:50" ht="15.75" thickBot="1" x14ac:dyDescent="0.3">
      <c r="A606" s="537"/>
      <c r="B606" s="538"/>
      <c r="C606" s="538"/>
      <c r="D606" s="538"/>
      <c r="E606" s="538"/>
      <c r="F606" s="538"/>
      <c r="G606" s="538"/>
      <c r="H606" s="538"/>
      <c r="I606" s="538"/>
      <c r="J606" s="531"/>
      <c r="K606" s="531"/>
      <c r="L606" s="531"/>
      <c r="M606" s="531"/>
      <c r="N606" s="531"/>
      <c r="O606" s="531"/>
      <c r="P606" s="531"/>
      <c r="Q606" s="531"/>
      <c r="R606" s="531"/>
      <c r="S606" s="531"/>
      <c r="T606" s="531"/>
      <c r="U606" s="531"/>
      <c r="V606" s="531"/>
      <c r="W606" s="531"/>
      <c r="X606" s="531"/>
      <c r="Y606" s="532"/>
      <c r="Z606" s="537"/>
      <c r="AA606" s="538"/>
      <c r="AB606" s="538"/>
      <c r="AC606" s="538"/>
      <c r="AD606" s="538"/>
      <c r="AE606" s="538"/>
      <c r="AF606" s="538"/>
      <c r="AG606" s="531"/>
      <c r="AH606" s="531"/>
      <c r="AI606" s="531"/>
      <c r="AJ606" s="531"/>
      <c r="AK606" s="531"/>
      <c r="AL606" s="531"/>
      <c r="AM606" s="531"/>
      <c r="AN606" s="531"/>
      <c r="AO606" s="531"/>
      <c r="AP606" s="531"/>
      <c r="AQ606" s="531"/>
      <c r="AR606" s="531"/>
      <c r="AS606" s="531"/>
      <c r="AT606" s="531"/>
      <c r="AU606" s="531"/>
      <c r="AV606" s="531"/>
      <c r="AW606" s="531"/>
      <c r="AX606" s="532"/>
    </row>
    <row r="607" spans="1:50" x14ac:dyDescent="0.25">
      <c r="A607" s="524"/>
      <c r="B607" s="525"/>
      <c r="C607" s="525"/>
      <c r="D607" s="525"/>
      <c r="E607" s="525"/>
      <c r="F607" s="525"/>
      <c r="G607" s="525"/>
      <c r="H607" s="526" t="str">
        <f>IF(A608="","",LOOKUP(A608,BoonRef!$A$2:$A$430,BoonRef!$C$2:$C$430))</f>
        <v/>
      </c>
      <c r="I607" s="526"/>
      <c r="J607" s="527"/>
      <c r="K607" s="527"/>
      <c r="L607" s="527"/>
      <c r="M607" s="527"/>
      <c r="N607" s="527"/>
      <c r="O607" s="527"/>
      <c r="P607" s="527"/>
      <c r="Q607" s="527"/>
      <c r="R607" s="527"/>
      <c r="S607" s="527"/>
      <c r="T607" s="527"/>
      <c r="U607" s="527"/>
      <c r="V607" s="527"/>
      <c r="W607" s="527"/>
      <c r="X607" s="527"/>
      <c r="Y607" s="528"/>
      <c r="Z607" s="524"/>
      <c r="AA607" s="525"/>
      <c r="AB607" s="525"/>
      <c r="AC607" s="525"/>
      <c r="AD607" s="525"/>
      <c r="AE607" s="526" t="str">
        <f>IF(Z608="","",LOOKUP(Z608,KanckRef!$A$2:$A$170,KanckRef!$E$2:$E$170))</f>
        <v/>
      </c>
      <c r="AF607" s="526"/>
      <c r="AG607" s="527"/>
      <c r="AH607" s="527"/>
      <c r="AI607" s="527"/>
      <c r="AJ607" s="527"/>
      <c r="AK607" s="527"/>
      <c r="AL607" s="527"/>
      <c r="AM607" s="527"/>
      <c r="AN607" s="527"/>
      <c r="AO607" s="527"/>
      <c r="AP607" s="527"/>
      <c r="AQ607" s="527"/>
      <c r="AR607" s="527"/>
      <c r="AS607" s="527"/>
      <c r="AT607" s="527"/>
      <c r="AU607" s="527"/>
      <c r="AV607" s="527"/>
      <c r="AW607" s="527"/>
      <c r="AX607" s="528"/>
    </row>
    <row r="608" spans="1:50" x14ac:dyDescent="0.25">
      <c r="A608" s="533"/>
      <c r="B608" s="534"/>
      <c r="C608" s="534"/>
      <c r="D608" s="534"/>
      <c r="E608" s="534"/>
      <c r="F608" s="534"/>
      <c r="G608" s="534"/>
      <c r="H608" s="535" t="str">
        <f>IF(A608="","",LOOKUP(A608,BoonRef!$A$2:$A$430,BoonRef!$P$2:$P$430))</f>
        <v/>
      </c>
      <c r="I608" s="535"/>
      <c r="J608" s="529"/>
      <c r="K608" s="529"/>
      <c r="L608" s="529"/>
      <c r="M608" s="529"/>
      <c r="N608" s="529"/>
      <c r="O608" s="529"/>
      <c r="P608" s="529"/>
      <c r="Q608" s="529"/>
      <c r="R608" s="529"/>
      <c r="S608" s="529"/>
      <c r="T608" s="529"/>
      <c r="U608" s="529"/>
      <c r="V608" s="529"/>
      <c r="W608" s="529"/>
      <c r="X608" s="529"/>
      <c r="Y608" s="530"/>
      <c r="Z608" s="533"/>
      <c r="AA608" s="534"/>
      <c r="AB608" s="534"/>
      <c r="AC608" s="534"/>
      <c r="AD608" s="534"/>
      <c r="AE608" s="535" t="str">
        <f>IF(Z608="","",LOOKUP(Z608,KanckRef!$A$2:$A$170,KanckRef!$F$2:$F$170))</f>
        <v/>
      </c>
      <c r="AF608" s="535"/>
      <c r="AG608" s="529"/>
      <c r="AH608" s="529"/>
      <c r="AI608" s="529"/>
      <c r="AJ608" s="529"/>
      <c r="AK608" s="529"/>
      <c r="AL608" s="529"/>
      <c r="AM608" s="529"/>
      <c r="AN608" s="529"/>
      <c r="AO608" s="529"/>
      <c r="AP608" s="529"/>
      <c r="AQ608" s="529"/>
      <c r="AR608" s="529"/>
      <c r="AS608" s="529"/>
      <c r="AT608" s="529"/>
      <c r="AU608" s="529"/>
      <c r="AV608" s="529"/>
      <c r="AW608" s="529"/>
      <c r="AX608" s="530"/>
    </row>
    <row r="609" spans="1:50" x14ac:dyDescent="0.25">
      <c r="A609" s="533"/>
      <c r="B609" s="534"/>
      <c r="C609" s="534"/>
      <c r="D609" s="534"/>
      <c r="E609" s="534"/>
      <c r="F609" s="534"/>
      <c r="G609" s="534"/>
      <c r="H609" s="535" t="str">
        <f>IF(A608="","",LOOKUP(A608,BoonRef!$A$2:$A$430,BoonRef!$Q$2:$Q$430))</f>
        <v/>
      </c>
      <c r="I609" s="535"/>
      <c r="J609" s="529"/>
      <c r="K609" s="529"/>
      <c r="L609" s="529"/>
      <c r="M609" s="529"/>
      <c r="N609" s="529"/>
      <c r="O609" s="529"/>
      <c r="P609" s="529"/>
      <c r="Q609" s="529"/>
      <c r="R609" s="529"/>
      <c r="S609" s="529"/>
      <c r="T609" s="529"/>
      <c r="U609" s="529"/>
      <c r="V609" s="529"/>
      <c r="W609" s="529"/>
      <c r="X609" s="529"/>
      <c r="Y609" s="530"/>
      <c r="Z609" s="533"/>
      <c r="AA609" s="534"/>
      <c r="AB609" s="534"/>
      <c r="AC609" s="534"/>
      <c r="AD609" s="534"/>
      <c r="AE609" s="535"/>
      <c r="AF609" s="535"/>
      <c r="AG609" s="529"/>
      <c r="AH609" s="529"/>
      <c r="AI609" s="529"/>
      <c r="AJ609" s="529"/>
      <c r="AK609" s="529"/>
      <c r="AL609" s="529"/>
      <c r="AM609" s="529"/>
      <c r="AN609" s="529"/>
      <c r="AO609" s="529"/>
      <c r="AP609" s="529"/>
      <c r="AQ609" s="529"/>
      <c r="AR609" s="529"/>
      <c r="AS609" s="529"/>
      <c r="AT609" s="529"/>
      <c r="AU609" s="529"/>
      <c r="AV609" s="529"/>
      <c r="AW609" s="529"/>
      <c r="AX609" s="530"/>
    </row>
    <row r="610" spans="1:50" x14ac:dyDescent="0.25">
      <c r="A610" s="536" t="str">
        <f>IF(A608="","",LOOKUP(A608,BoonRef!$A$2:$A$430,BoonRef!$O$2:$O$430))</f>
        <v/>
      </c>
      <c r="B610" s="535"/>
      <c r="C610" s="535"/>
      <c r="D610" s="535"/>
      <c r="E610" s="535"/>
      <c r="F610" s="535"/>
      <c r="G610" s="535"/>
      <c r="H610" s="535"/>
      <c r="I610" s="535"/>
      <c r="J610" s="529"/>
      <c r="K610" s="529"/>
      <c r="L610" s="529"/>
      <c r="M610" s="529"/>
      <c r="N610" s="529"/>
      <c r="O610" s="529"/>
      <c r="P610" s="529"/>
      <c r="Q610" s="529"/>
      <c r="R610" s="529"/>
      <c r="S610" s="529"/>
      <c r="T610" s="529"/>
      <c r="U610" s="529"/>
      <c r="V610" s="529"/>
      <c r="W610" s="529"/>
      <c r="X610" s="529"/>
      <c r="Y610" s="530"/>
      <c r="Z610" s="536" t="str">
        <f>IF(Z608="","",LOOKUP(Z608,KanckRef!$A$2:$A$170,KanckRef!$D$2:$D$170))</f>
        <v/>
      </c>
      <c r="AA610" s="535"/>
      <c r="AB610" s="535"/>
      <c r="AC610" s="535"/>
      <c r="AD610" s="535"/>
      <c r="AE610" s="535"/>
      <c r="AF610" s="535"/>
      <c r="AG610" s="529"/>
      <c r="AH610" s="529"/>
      <c r="AI610" s="529"/>
      <c r="AJ610" s="529"/>
      <c r="AK610" s="529"/>
      <c r="AL610" s="529"/>
      <c r="AM610" s="529"/>
      <c r="AN610" s="529"/>
      <c r="AO610" s="529"/>
      <c r="AP610" s="529"/>
      <c r="AQ610" s="529"/>
      <c r="AR610" s="529"/>
      <c r="AS610" s="529"/>
      <c r="AT610" s="529"/>
      <c r="AU610" s="529"/>
      <c r="AV610" s="529"/>
      <c r="AW610" s="529"/>
      <c r="AX610" s="530"/>
    </row>
    <row r="611" spans="1:50" x14ac:dyDescent="0.25">
      <c r="A611" s="536" t="str">
        <f>IF(A608="","",LOOKUP(A608,BoonRef!$A$2:$A$430,BoonRef!$N$2:$N$430))</f>
        <v/>
      </c>
      <c r="B611" s="535"/>
      <c r="C611" s="535"/>
      <c r="D611" s="535"/>
      <c r="E611" s="535"/>
      <c r="F611" s="535"/>
      <c r="G611" s="535"/>
      <c r="H611" s="535"/>
      <c r="I611" s="535"/>
      <c r="J611" s="529"/>
      <c r="K611" s="529"/>
      <c r="L611" s="529"/>
      <c r="M611" s="529"/>
      <c r="N611" s="529"/>
      <c r="O611" s="529"/>
      <c r="P611" s="529"/>
      <c r="Q611" s="529"/>
      <c r="R611" s="529"/>
      <c r="S611" s="529"/>
      <c r="T611" s="529"/>
      <c r="U611" s="529"/>
      <c r="V611" s="529"/>
      <c r="W611" s="529"/>
      <c r="X611" s="529"/>
      <c r="Y611" s="530"/>
      <c r="Z611" s="536"/>
      <c r="AA611" s="535"/>
      <c r="AB611" s="535"/>
      <c r="AC611" s="535"/>
      <c r="AD611" s="535"/>
      <c r="AE611" s="535"/>
      <c r="AF611" s="535"/>
      <c r="AG611" s="529"/>
      <c r="AH611" s="529"/>
      <c r="AI611" s="529"/>
      <c r="AJ611" s="529"/>
      <c r="AK611" s="529"/>
      <c r="AL611" s="529"/>
      <c r="AM611" s="529"/>
      <c r="AN611" s="529"/>
      <c r="AO611" s="529"/>
      <c r="AP611" s="529"/>
      <c r="AQ611" s="529"/>
      <c r="AR611" s="529"/>
      <c r="AS611" s="529"/>
      <c r="AT611" s="529"/>
      <c r="AU611" s="529"/>
      <c r="AV611" s="529"/>
      <c r="AW611" s="529"/>
      <c r="AX611" s="530"/>
    </row>
    <row r="612" spans="1:50" ht="15.75" thickBot="1" x14ac:dyDescent="0.3">
      <c r="A612" s="537"/>
      <c r="B612" s="538"/>
      <c r="C612" s="538"/>
      <c r="D612" s="538"/>
      <c r="E612" s="538"/>
      <c r="F612" s="538"/>
      <c r="G612" s="538"/>
      <c r="H612" s="538"/>
      <c r="I612" s="538"/>
      <c r="J612" s="531"/>
      <c r="K612" s="531"/>
      <c r="L612" s="531"/>
      <c r="M612" s="531"/>
      <c r="N612" s="531"/>
      <c r="O612" s="531"/>
      <c r="P612" s="531"/>
      <c r="Q612" s="531"/>
      <c r="R612" s="531"/>
      <c r="S612" s="531"/>
      <c r="T612" s="531"/>
      <c r="U612" s="531"/>
      <c r="V612" s="531"/>
      <c r="W612" s="531"/>
      <c r="X612" s="531"/>
      <c r="Y612" s="532"/>
      <c r="Z612" s="537"/>
      <c r="AA612" s="538"/>
      <c r="AB612" s="538"/>
      <c r="AC612" s="538"/>
      <c r="AD612" s="538"/>
      <c r="AE612" s="538"/>
      <c r="AF612" s="538"/>
      <c r="AG612" s="531"/>
      <c r="AH612" s="531"/>
      <c r="AI612" s="531"/>
      <c r="AJ612" s="531"/>
      <c r="AK612" s="531"/>
      <c r="AL612" s="531"/>
      <c r="AM612" s="531"/>
      <c r="AN612" s="531"/>
      <c r="AO612" s="531"/>
      <c r="AP612" s="531"/>
      <c r="AQ612" s="531"/>
      <c r="AR612" s="531"/>
      <c r="AS612" s="531"/>
      <c r="AT612" s="531"/>
      <c r="AU612" s="531"/>
      <c r="AV612" s="531"/>
      <c r="AW612" s="531"/>
      <c r="AX612" s="532"/>
    </row>
    <row r="613" spans="1:50" x14ac:dyDescent="0.25">
      <c r="A613" s="524"/>
      <c r="B613" s="525"/>
      <c r="C613" s="525"/>
      <c r="D613" s="525"/>
      <c r="E613" s="525"/>
      <c r="F613" s="525"/>
      <c r="G613" s="525"/>
      <c r="H613" s="526" t="str">
        <f>IF(A614="","",LOOKUP(A614,BoonRef!$A$2:$A$430,BoonRef!$C$2:$C$430))</f>
        <v/>
      </c>
      <c r="I613" s="526"/>
      <c r="J613" s="527"/>
      <c r="K613" s="527"/>
      <c r="L613" s="527"/>
      <c r="M613" s="527"/>
      <c r="N613" s="527"/>
      <c r="O613" s="527"/>
      <c r="P613" s="527"/>
      <c r="Q613" s="527"/>
      <c r="R613" s="527"/>
      <c r="S613" s="527"/>
      <c r="T613" s="527"/>
      <c r="U613" s="527"/>
      <c r="V613" s="527"/>
      <c r="W613" s="527"/>
      <c r="X613" s="527"/>
      <c r="Y613" s="528"/>
      <c r="Z613" s="524"/>
      <c r="AA613" s="525"/>
      <c r="AB613" s="525"/>
      <c r="AC613" s="525"/>
      <c r="AD613" s="525"/>
      <c r="AE613" s="526" t="str">
        <f>IF(Z614="","",LOOKUP(Z614,KanckRef!$A$2:$A$170,KanckRef!$E$2:$E$170))</f>
        <v/>
      </c>
      <c r="AF613" s="526"/>
      <c r="AG613" s="527"/>
      <c r="AH613" s="527"/>
      <c r="AI613" s="527"/>
      <c r="AJ613" s="527"/>
      <c r="AK613" s="527"/>
      <c r="AL613" s="527"/>
      <c r="AM613" s="527"/>
      <c r="AN613" s="527"/>
      <c r="AO613" s="527"/>
      <c r="AP613" s="527"/>
      <c r="AQ613" s="527"/>
      <c r="AR613" s="527"/>
      <c r="AS613" s="527"/>
      <c r="AT613" s="527"/>
      <c r="AU613" s="527"/>
      <c r="AV613" s="527"/>
      <c r="AW613" s="527"/>
      <c r="AX613" s="528"/>
    </row>
    <row r="614" spans="1:50" x14ac:dyDescent="0.25">
      <c r="A614" s="533"/>
      <c r="B614" s="534"/>
      <c r="C614" s="534"/>
      <c r="D614" s="534"/>
      <c r="E614" s="534"/>
      <c r="F614" s="534"/>
      <c r="G614" s="534"/>
      <c r="H614" s="535" t="str">
        <f>IF(A614="","",LOOKUP(A614,BoonRef!$A$2:$A$430,BoonRef!$P$2:$P$430))</f>
        <v/>
      </c>
      <c r="I614" s="535"/>
      <c r="J614" s="529"/>
      <c r="K614" s="529"/>
      <c r="L614" s="529"/>
      <c r="M614" s="529"/>
      <c r="N614" s="529"/>
      <c r="O614" s="529"/>
      <c r="P614" s="529"/>
      <c r="Q614" s="529"/>
      <c r="R614" s="529"/>
      <c r="S614" s="529"/>
      <c r="T614" s="529"/>
      <c r="U614" s="529"/>
      <c r="V614" s="529"/>
      <c r="W614" s="529"/>
      <c r="X614" s="529"/>
      <c r="Y614" s="530"/>
      <c r="Z614" s="533"/>
      <c r="AA614" s="534"/>
      <c r="AB614" s="534"/>
      <c r="AC614" s="534"/>
      <c r="AD614" s="534"/>
      <c r="AE614" s="535" t="str">
        <f>IF(Z614="","",LOOKUP(Z614,KanckRef!$A$2:$A$170,KanckRef!$F$2:$F$170))</f>
        <v/>
      </c>
      <c r="AF614" s="535"/>
      <c r="AG614" s="529"/>
      <c r="AH614" s="529"/>
      <c r="AI614" s="529"/>
      <c r="AJ614" s="529"/>
      <c r="AK614" s="529"/>
      <c r="AL614" s="529"/>
      <c r="AM614" s="529"/>
      <c r="AN614" s="529"/>
      <c r="AO614" s="529"/>
      <c r="AP614" s="529"/>
      <c r="AQ614" s="529"/>
      <c r="AR614" s="529"/>
      <c r="AS614" s="529"/>
      <c r="AT614" s="529"/>
      <c r="AU614" s="529"/>
      <c r="AV614" s="529"/>
      <c r="AW614" s="529"/>
      <c r="AX614" s="530"/>
    </row>
    <row r="615" spans="1:50" x14ac:dyDescent="0.25">
      <c r="A615" s="533"/>
      <c r="B615" s="534"/>
      <c r="C615" s="534"/>
      <c r="D615" s="534"/>
      <c r="E615" s="534"/>
      <c r="F615" s="534"/>
      <c r="G615" s="534"/>
      <c r="H615" s="535" t="str">
        <f>IF(A614="","",LOOKUP(A614,BoonRef!$A$2:$A$430,BoonRef!$Q$2:$Q$430))</f>
        <v/>
      </c>
      <c r="I615" s="535"/>
      <c r="J615" s="529"/>
      <c r="K615" s="529"/>
      <c r="L615" s="529"/>
      <c r="M615" s="529"/>
      <c r="N615" s="529"/>
      <c r="O615" s="529"/>
      <c r="P615" s="529"/>
      <c r="Q615" s="529"/>
      <c r="R615" s="529"/>
      <c r="S615" s="529"/>
      <c r="T615" s="529"/>
      <c r="U615" s="529"/>
      <c r="V615" s="529"/>
      <c r="W615" s="529"/>
      <c r="X615" s="529"/>
      <c r="Y615" s="530"/>
      <c r="Z615" s="533"/>
      <c r="AA615" s="534"/>
      <c r="AB615" s="534"/>
      <c r="AC615" s="534"/>
      <c r="AD615" s="534"/>
      <c r="AE615" s="535"/>
      <c r="AF615" s="535"/>
      <c r="AG615" s="529"/>
      <c r="AH615" s="529"/>
      <c r="AI615" s="529"/>
      <c r="AJ615" s="529"/>
      <c r="AK615" s="529"/>
      <c r="AL615" s="529"/>
      <c r="AM615" s="529"/>
      <c r="AN615" s="529"/>
      <c r="AO615" s="529"/>
      <c r="AP615" s="529"/>
      <c r="AQ615" s="529"/>
      <c r="AR615" s="529"/>
      <c r="AS615" s="529"/>
      <c r="AT615" s="529"/>
      <c r="AU615" s="529"/>
      <c r="AV615" s="529"/>
      <c r="AW615" s="529"/>
      <c r="AX615" s="530"/>
    </row>
    <row r="616" spans="1:50" x14ac:dyDescent="0.25">
      <c r="A616" s="536" t="str">
        <f>IF(A614="","",LOOKUP(A614,BoonRef!$A$2:$A$430,BoonRef!$O$2:$O$430))</f>
        <v/>
      </c>
      <c r="B616" s="535"/>
      <c r="C616" s="535"/>
      <c r="D616" s="535"/>
      <c r="E616" s="535"/>
      <c r="F616" s="535"/>
      <c r="G616" s="535"/>
      <c r="H616" s="535"/>
      <c r="I616" s="535"/>
      <c r="J616" s="529"/>
      <c r="K616" s="529"/>
      <c r="L616" s="529"/>
      <c r="M616" s="529"/>
      <c r="N616" s="529"/>
      <c r="O616" s="529"/>
      <c r="P616" s="529"/>
      <c r="Q616" s="529"/>
      <c r="R616" s="529"/>
      <c r="S616" s="529"/>
      <c r="T616" s="529"/>
      <c r="U616" s="529"/>
      <c r="V616" s="529"/>
      <c r="W616" s="529"/>
      <c r="X616" s="529"/>
      <c r="Y616" s="530"/>
      <c r="Z616" s="536" t="str">
        <f>IF(Z614="","",LOOKUP(Z614,KanckRef!$A$2:$A$170,KanckRef!$D$2:$D$170))</f>
        <v/>
      </c>
      <c r="AA616" s="535"/>
      <c r="AB616" s="535"/>
      <c r="AC616" s="535"/>
      <c r="AD616" s="535"/>
      <c r="AE616" s="535"/>
      <c r="AF616" s="535"/>
      <c r="AG616" s="529"/>
      <c r="AH616" s="529"/>
      <c r="AI616" s="529"/>
      <c r="AJ616" s="529"/>
      <c r="AK616" s="529"/>
      <c r="AL616" s="529"/>
      <c r="AM616" s="529"/>
      <c r="AN616" s="529"/>
      <c r="AO616" s="529"/>
      <c r="AP616" s="529"/>
      <c r="AQ616" s="529"/>
      <c r="AR616" s="529"/>
      <c r="AS616" s="529"/>
      <c r="AT616" s="529"/>
      <c r="AU616" s="529"/>
      <c r="AV616" s="529"/>
      <c r="AW616" s="529"/>
      <c r="AX616" s="530"/>
    </row>
    <row r="617" spans="1:50" x14ac:dyDescent="0.25">
      <c r="A617" s="536" t="str">
        <f>IF(A614="","",LOOKUP(A614,BoonRef!$A$2:$A$430,BoonRef!$N$2:$N$430))</f>
        <v/>
      </c>
      <c r="B617" s="535"/>
      <c r="C617" s="535"/>
      <c r="D617" s="535"/>
      <c r="E617" s="535"/>
      <c r="F617" s="535"/>
      <c r="G617" s="535"/>
      <c r="H617" s="535"/>
      <c r="I617" s="535"/>
      <c r="J617" s="529"/>
      <c r="K617" s="529"/>
      <c r="L617" s="529"/>
      <c r="M617" s="529"/>
      <c r="N617" s="529"/>
      <c r="O617" s="529"/>
      <c r="P617" s="529"/>
      <c r="Q617" s="529"/>
      <c r="R617" s="529"/>
      <c r="S617" s="529"/>
      <c r="T617" s="529"/>
      <c r="U617" s="529"/>
      <c r="V617" s="529"/>
      <c r="W617" s="529"/>
      <c r="X617" s="529"/>
      <c r="Y617" s="530"/>
      <c r="Z617" s="536"/>
      <c r="AA617" s="535"/>
      <c r="AB617" s="535"/>
      <c r="AC617" s="535"/>
      <c r="AD617" s="535"/>
      <c r="AE617" s="535"/>
      <c r="AF617" s="535"/>
      <c r="AG617" s="529"/>
      <c r="AH617" s="529"/>
      <c r="AI617" s="529"/>
      <c r="AJ617" s="529"/>
      <c r="AK617" s="529"/>
      <c r="AL617" s="529"/>
      <c r="AM617" s="529"/>
      <c r="AN617" s="529"/>
      <c r="AO617" s="529"/>
      <c r="AP617" s="529"/>
      <c r="AQ617" s="529"/>
      <c r="AR617" s="529"/>
      <c r="AS617" s="529"/>
      <c r="AT617" s="529"/>
      <c r="AU617" s="529"/>
      <c r="AV617" s="529"/>
      <c r="AW617" s="529"/>
      <c r="AX617" s="530"/>
    </row>
    <row r="618" spans="1:50" ht="15.75" thickBot="1" x14ac:dyDescent="0.3">
      <c r="A618" s="537"/>
      <c r="B618" s="538"/>
      <c r="C618" s="538"/>
      <c r="D618" s="538"/>
      <c r="E618" s="538"/>
      <c r="F618" s="538"/>
      <c r="G618" s="538"/>
      <c r="H618" s="538"/>
      <c r="I618" s="538"/>
      <c r="J618" s="531"/>
      <c r="K618" s="531"/>
      <c r="L618" s="531"/>
      <c r="M618" s="531"/>
      <c r="N618" s="531"/>
      <c r="O618" s="531"/>
      <c r="P618" s="531"/>
      <c r="Q618" s="531"/>
      <c r="R618" s="531"/>
      <c r="S618" s="531"/>
      <c r="T618" s="531"/>
      <c r="U618" s="531"/>
      <c r="V618" s="531"/>
      <c r="W618" s="531"/>
      <c r="X618" s="531"/>
      <c r="Y618" s="532"/>
      <c r="Z618" s="537"/>
      <c r="AA618" s="538"/>
      <c r="AB618" s="538"/>
      <c r="AC618" s="538"/>
      <c r="AD618" s="538"/>
      <c r="AE618" s="538"/>
      <c r="AF618" s="538"/>
      <c r="AG618" s="531"/>
      <c r="AH618" s="531"/>
      <c r="AI618" s="531"/>
      <c r="AJ618" s="531"/>
      <c r="AK618" s="531"/>
      <c r="AL618" s="531"/>
      <c r="AM618" s="531"/>
      <c r="AN618" s="531"/>
      <c r="AO618" s="531"/>
      <c r="AP618" s="531"/>
      <c r="AQ618" s="531"/>
      <c r="AR618" s="531"/>
      <c r="AS618" s="531"/>
      <c r="AT618" s="531"/>
      <c r="AU618" s="531"/>
      <c r="AV618" s="531"/>
      <c r="AW618" s="531"/>
      <c r="AX618" s="532"/>
    </row>
    <row r="619" spans="1:50" x14ac:dyDescent="0.25">
      <c r="A619" s="524"/>
      <c r="B619" s="525"/>
      <c r="C619" s="525"/>
      <c r="D619" s="525"/>
      <c r="E619" s="525"/>
      <c r="F619" s="525"/>
      <c r="G619" s="525"/>
      <c r="H619" s="526" t="str">
        <f>IF(A620="","",LOOKUP(A620,BoonRef!$A$2:$A$430,BoonRef!$C$2:$C$430))</f>
        <v/>
      </c>
      <c r="I619" s="526"/>
      <c r="J619" s="527"/>
      <c r="K619" s="527"/>
      <c r="L619" s="527"/>
      <c r="M619" s="527"/>
      <c r="N619" s="527"/>
      <c r="O619" s="527"/>
      <c r="P619" s="527"/>
      <c r="Q619" s="527"/>
      <c r="R619" s="527"/>
      <c r="S619" s="527"/>
      <c r="T619" s="527"/>
      <c r="U619" s="527"/>
      <c r="V619" s="527"/>
      <c r="W619" s="527"/>
      <c r="X619" s="527"/>
      <c r="Y619" s="528"/>
      <c r="Z619" s="524"/>
      <c r="AA619" s="525"/>
      <c r="AB619" s="525"/>
      <c r="AC619" s="525"/>
      <c r="AD619" s="525"/>
      <c r="AE619" s="526" t="str">
        <f>IF(Z620="","",LOOKUP(Z620,KanckRef!$A$2:$A$170,KanckRef!$E$2:$E$170))</f>
        <v/>
      </c>
      <c r="AF619" s="526"/>
      <c r="AG619" s="527"/>
      <c r="AH619" s="527"/>
      <c r="AI619" s="527"/>
      <c r="AJ619" s="527"/>
      <c r="AK619" s="527"/>
      <c r="AL619" s="527"/>
      <c r="AM619" s="527"/>
      <c r="AN619" s="527"/>
      <c r="AO619" s="527"/>
      <c r="AP619" s="527"/>
      <c r="AQ619" s="527"/>
      <c r="AR619" s="527"/>
      <c r="AS619" s="527"/>
      <c r="AT619" s="527"/>
      <c r="AU619" s="527"/>
      <c r="AV619" s="527"/>
      <c r="AW619" s="527"/>
      <c r="AX619" s="528"/>
    </row>
    <row r="620" spans="1:50" x14ac:dyDescent="0.25">
      <c r="A620" s="533"/>
      <c r="B620" s="534"/>
      <c r="C620" s="534"/>
      <c r="D620" s="534"/>
      <c r="E620" s="534"/>
      <c r="F620" s="534"/>
      <c r="G620" s="534"/>
      <c r="H620" s="535" t="str">
        <f>IF(A620="","",LOOKUP(A620,BoonRef!$A$2:$A$430,BoonRef!$P$2:$P$430))</f>
        <v/>
      </c>
      <c r="I620" s="535"/>
      <c r="J620" s="529"/>
      <c r="K620" s="529"/>
      <c r="L620" s="529"/>
      <c r="M620" s="529"/>
      <c r="N620" s="529"/>
      <c r="O620" s="529"/>
      <c r="P620" s="529"/>
      <c r="Q620" s="529"/>
      <c r="R620" s="529"/>
      <c r="S620" s="529"/>
      <c r="T620" s="529"/>
      <c r="U620" s="529"/>
      <c r="V620" s="529"/>
      <c r="W620" s="529"/>
      <c r="X620" s="529"/>
      <c r="Y620" s="530"/>
      <c r="Z620" s="533"/>
      <c r="AA620" s="534"/>
      <c r="AB620" s="534"/>
      <c r="AC620" s="534"/>
      <c r="AD620" s="534"/>
      <c r="AE620" s="535" t="str">
        <f>IF(Z620="","",LOOKUP(Z620,KanckRef!$A$2:$A$170,KanckRef!$F$2:$F$170))</f>
        <v/>
      </c>
      <c r="AF620" s="535"/>
      <c r="AG620" s="529"/>
      <c r="AH620" s="529"/>
      <c r="AI620" s="529"/>
      <c r="AJ620" s="529"/>
      <c r="AK620" s="529"/>
      <c r="AL620" s="529"/>
      <c r="AM620" s="529"/>
      <c r="AN620" s="529"/>
      <c r="AO620" s="529"/>
      <c r="AP620" s="529"/>
      <c r="AQ620" s="529"/>
      <c r="AR620" s="529"/>
      <c r="AS620" s="529"/>
      <c r="AT620" s="529"/>
      <c r="AU620" s="529"/>
      <c r="AV620" s="529"/>
      <c r="AW620" s="529"/>
      <c r="AX620" s="530"/>
    </row>
    <row r="621" spans="1:50" x14ac:dyDescent="0.25">
      <c r="A621" s="533"/>
      <c r="B621" s="534"/>
      <c r="C621" s="534"/>
      <c r="D621" s="534"/>
      <c r="E621" s="534"/>
      <c r="F621" s="534"/>
      <c r="G621" s="534"/>
      <c r="H621" s="535" t="str">
        <f>IF(A620="","",LOOKUP(A620,BoonRef!$A$2:$A$430,BoonRef!$Q$2:$Q$430))</f>
        <v/>
      </c>
      <c r="I621" s="535"/>
      <c r="J621" s="529"/>
      <c r="K621" s="529"/>
      <c r="L621" s="529"/>
      <c r="M621" s="529"/>
      <c r="N621" s="529"/>
      <c r="O621" s="529"/>
      <c r="P621" s="529"/>
      <c r="Q621" s="529"/>
      <c r="R621" s="529"/>
      <c r="S621" s="529"/>
      <c r="T621" s="529"/>
      <c r="U621" s="529"/>
      <c r="V621" s="529"/>
      <c r="W621" s="529"/>
      <c r="X621" s="529"/>
      <c r="Y621" s="530"/>
      <c r="Z621" s="533"/>
      <c r="AA621" s="534"/>
      <c r="AB621" s="534"/>
      <c r="AC621" s="534"/>
      <c r="AD621" s="534"/>
      <c r="AE621" s="535"/>
      <c r="AF621" s="535"/>
      <c r="AG621" s="529"/>
      <c r="AH621" s="529"/>
      <c r="AI621" s="529"/>
      <c r="AJ621" s="529"/>
      <c r="AK621" s="529"/>
      <c r="AL621" s="529"/>
      <c r="AM621" s="529"/>
      <c r="AN621" s="529"/>
      <c r="AO621" s="529"/>
      <c r="AP621" s="529"/>
      <c r="AQ621" s="529"/>
      <c r="AR621" s="529"/>
      <c r="AS621" s="529"/>
      <c r="AT621" s="529"/>
      <c r="AU621" s="529"/>
      <c r="AV621" s="529"/>
      <c r="AW621" s="529"/>
      <c r="AX621" s="530"/>
    </row>
    <row r="622" spans="1:50" x14ac:dyDescent="0.25">
      <c r="A622" s="536" t="str">
        <f>IF(A620="","",LOOKUP(A620,BoonRef!$A$2:$A$430,BoonRef!$O$2:$O$430))</f>
        <v/>
      </c>
      <c r="B622" s="535"/>
      <c r="C622" s="535"/>
      <c r="D622" s="535"/>
      <c r="E622" s="535"/>
      <c r="F622" s="535"/>
      <c r="G622" s="535"/>
      <c r="H622" s="535"/>
      <c r="I622" s="535"/>
      <c r="J622" s="529"/>
      <c r="K622" s="529"/>
      <c r="L622" s="529"/>
      <c r="M622" s="529"/>
      <c r="N622" s="529"/>
      <c r="O622" s="529"/>
      <c r="P622" s="529"/>
      <c r="Q622" s="529"/>
      <c r="R622" s="529"/>
      <c r="S622" s="529"/>
      <c r="T622" s="529"/>
      <c r="U622" s="529"/>
      <c r="V622" s="529"/>
      <c r="W622" s="529"/>
      <c r="X622" s="529"/>
      <c r="Y622" s="530"/>
      <c r="Z622" s="536" t="str">
        <f>IF(Z620="","",LOOKUP(Z620,KanckRef!$A$2:$A$170,KanckRef!$D$2:$D$170))</f>
        <v/>
      </c>
      <c r="AA622" s="535"/>
      <c r="AB622" s="535"/>
      <c r="AC622" s="535"/>
      <c r="AD622" s="535"/>
      <c r="AE622" s="535"/>
      <c r="AF622" s="535"/>
      <c r="AG622" s="529"/>
      <c r="AH622" s="529"/>
      <c r="AI622" s="529"/>
      <c r="AJ622" s="529"/>
      <c r="AK622" s="529"/>
      <c r="AL622" s="529"/>
      <c r="AM622" s="529"/>
      <c r="AN622" s="529"/>
      <c r="AO622" s="529"/>
      <c r="AP622" s="529"/>
      <c r="AQ622" s="529"/>
      <c r="AR622" s="529"/>
      <c r="AS622" s="529"/>
      <c r="AT622" s="529"/>
      <c r="AU622" s="529"/>
      <c r="AV622" s="529"/>
      <c r="AW622" s="529"/>
      <c r="AX622" s="530"/>
    </row>
    <row r="623" spans="1:50" x14ac:dyDescent="0.25">
      <c r="A623" s="536" t="str">
        <f>IF(A620="","",LOOKUP(A620,BoonRef!$A$2:$A$430,BoonRef!$N$2:$N$430))</f>
        <v/>
      </c>
      <c r="B623" s="535"/>
      <c r="C623" s="535"/>
      <c r="D623" s="535"/>
      <c r="E623" s="535"/>
      <c r="F623" s="535"/>
      <c r="G623" s="535"/>
      <c r="H623" s="535"/>
      <c r="I623" s="535"/>
      <c r="J623" s="529"/>
      <c r="K623" s="529"/>
      <c r="L623" s="529"/>
      <c r="M623" s="529"/>
      <c r="N623" s="529"/>
      <c r="O623" s="529"/>
      <c r="P623" s="529"/>
      <c r="Q623" s="529"/>
      <c r="R623" s="529"/>
      <c r="S623" s="529"/>
      <c r="T623" s="529"/>
      <c r="U623" s="529"/>
      <c r="V623" s="529"/>
      <c r="W623" s="529"/>
      <c r="X623" s="529"/>
      <c r="Y623" s="530"/>
      <c r="Z623" s="536"/>
      <c r="AA623" s="535"/>
      <c r="AB623" s="535"/>
      <c r="AC623" s="535"/>
      <c r="AD623" s="535"/>
      <c r="AE623" s="535"/>
      <c r="AF623" s="535"/>
      <c r="AG623" s="529"/>
      <c r="AH623" s="529"/>
      <c r="AI623" s="529"/>
      <c r="AJ623" s="529"/>
      <c r="AK623" s="529"/>
      <c r="AL623" s="529"/>
      <c r="AM623" s="529"/>
      <c r="AN623" s="529"/>
      <c r="AO623" s="529"/>
      <c r="AP623" s="529"/>
      <c r="AQ623" s="529"/>
      <c r="AR623" s="529"/>
      <c r="AS623" s="529"/>
      <c r="AT623" s="529"/>
      <c r="AU623" s="529"/>
      <c r="AV623" s="529"/>
      <c r="AW623" s="529"/>
      <c r="AX623" s="530"/>
    </row>
    <row r="624" spans="1:50" ht="15.75" thickBot="1" x14ac:dyDescent="0.3">
      <c r="A624" s="537"/>
      <c r="B624" s="538"/>
      <c r="C624" s="538"/>
      <c r="D624" s="538"/>
      <c r="E624" s="538"/>
      <c r="F624" s="538"/>
      <c r="G624" s="538"/>
      <c r="H624" s="538"/>
      <c r="I624" s="538"/>
      <c r="J624" s="531"/>
      <c r="K624" s="531"/>
      <c r="L624" s="531"/>
      <c r="M624" s="531"/>
      <c r="N624" s="531"/>
      <c r="O624" s="531"/>
      <c r="P624" s="531"/>
      <c r="Q624" s="531"/>
      <c r="R624" s="531"/>
      <c r="S624" s="531"/>
      <c r="T624" s="531"/>
      <c r="U624" s="531"/>
      <c r="V624" s="531"/>
      <c r="W624" s="531"/>
      <c r="X624" s="531"/>
      <c r="Y624" s="532"/>
      <c r="Z624" s="537"/>
      <c r="AA624" s="538"/>
      <c r="AB624" s="538"/>
      <c r="AC624" s="538"/>
      <c r="AD624" s="538"/>
      <c r="AE624" s="538"/>
      <c r="AF624" s="538"/>
      <c r="AG624" s="531"/>
      <c r="AH624" s="531"/>
      <c r="AI624" s="531"/>
      <c r="AJ624" s="531"/>
      <c r="AK624" s="531"/>
      <c r="AL624" s="531"/>
      <c r="AM624" s="531"/>
      <c r="AN624" s="531"/>
      <c r="AO624" s="531"/>
      <c r="AP624" s="531"/>
      <c r="AQ624" s="531"/>
      <c r="AR624" s="531"/>
      <c r="AS624" s="531"/>
      <c r="AT624" s="531"/>
      <c r="AU624" s="531"/>
      <c r="AV624" s="531"/>
      <c r="AW624" s="531"/>
      <c r="AX624" s="532"/>
    </row>
    <row r="625" spans="1:50" x14ac:dyDescent="0.25">
      <c r="A625" s="524"/>
      <c r="B625" s="525"/>
      <c r="C625" s="525"/>
      <c r="D625" s="525"/>
      <c r="E625" s="525"/>
      <c r="F625" s="525"/>
      <c r="G625" s="525"/>
      <c r="H625" s="526" t="str">
        <f>IF(A626="","",LOOKUP(A626,BoonRef!$A$2:$A$430,BoonRef!$C$2:$C$430))</f>
        <v/>
      </c>
      <c r="I625" s="526"/>
      <c r="J625" s="527"/>
      <c r="K625" s="527"/>
      <c r="L625" s="527"/>
      <c r="M625" s="527"/>
      <c r="N625" s="527"/>
      <c r="O625" s="527"/>
      <c r="P625" s="527"/>
      <c r="Q625" s="527"/>
      <c r="R625" s="527"/>
      <c r="S625" s="527"/>
      <c r="T625" s="527"/>
      <c r="U625" s="527"/>
      <c r="V625" s="527"/>
      <c r="W625" s="527"/>
      <c r="X625" s="527"/>
      <c r="Y625" s="528"/>
      <c r="Z625" s="524"/>
      <c r="AA625" s="525"/>
      <c r="AB625" s="525"/>
      <c r="AC625" s="525"/>
      <c r="AD625" s="525"/>
      <c r="AE625" s="526" t="str">
        <f>IF(Z626="","",LOOKUP(Z626,KanckRef!$A$2:$A$170,KanckRef!$E$2:$E$170))</f>
        <v/>
      </c>
      <c r="AF625" s="526"/>
      <c r="AG625" s="527"/>
      <c r="AH625" s="527"/>
      <c r="AI625" s="527"/>
      <c r="AJ625" s="527"/>
      <c r="AK625" s="527"/>
      <c r="AL625" s="527"/>
      <c r="AM625" s="527"/>
      <c r="AN625" s="527"/>
      <c r="AO625" s="527"/>
      <c r="AP625" s="527"/>
      <c r="AQ625" s="527"/>
      <c r="AR625" s="527"/>
      <c r="AS625" s="527"/>
      <c r="AT625" s="527"/>
      <c r="AU625" s="527"/>
      <c r="AV625" s="527"/>
      <c r="AW625" s="527"/>
      <c r="AX625" s="528"/>
    </row>
    <row r="626" spans="1:50" x14ac:dyDescent="0.25">
      <c r="A626" s="533"/>
      <c r="B626" s="534"/>
      <c r="C626" s="534"/>
      <c r="D626" s="534"/>
      <c r="E626" s="534"/>
      <c r="F626" s="534"/>
      <c r="G626" s="534"/>
      <c r="H626" s="535" t="str">
        <f>IF(A626="","",LOOKUP(A626,BoonRef!$A$2:$A$430,BoonRef!$P$2:$P$430))</f>
        <v/>
      </c>
      <c r="I626" s="535"/>
      <c r="J626" s="529"/>
      <c r="K626" s="529"/>
      <c r="L626" s="529"/>
      <c r="M626" s="529"/>
      <c r="N626" s="529"/>
      <c r="O626" s="529"/>
      <c r="P626" s="529"/>
      <c r="Q626" s="529"/>
      <c r="R626" s="529"/>
      <c r="S626" s="529"/>
      <c r="T626" s="529"/>
      <c r="U626" s="529"/>
      <c r="V626" s="529"/>
      <c r="W626" s="529"/>
      <c r="X626" s="529"/>
      <c r="Y626" s="530"/>
      <c r="Z626" s="533"/>
      <c r="AA626" s="534"/>
      <c r="AB626" s="534"/>
      <c r="AC626" s="534"/>
      <c r="AD626" s="534"/>
      <c r="AE626" s="535" t="str">
        <f>IF(Z626="","",LOOKUP(Z626,KanckRef!$A$2:$A$170,KanckRef!$F$2:$F$170))</f>
        <v/>
      </c>
      <c r="AF626" s="535"/>
      <c r="AG626" s="529"/>
      <c r="AH626" s="529"/>
      <c r="AI626" s="529"/>
      <c r="AJ626" s="529"/>
      <c r="AK626" s="529"/>
      <c r="AL626" s="529"/>
      <c r="AM626" s="529"/>
      <c r="AN626" s="529"/>
      <c r="AO626" s="529"/>
      <c r="AP626" s="529"/>
      <c r="AQ626" s="529"/>
      <c r="AR626" s="529"/>
      <c r="AS626" s="529"/>
      <c r="AT626" s="529"/>
      <c r="AU626" s="529"/>
      <c r="AV626" s="529"/>
      <c r="AW626" s="529"/>
      <c r="AX626" s="530"/>
    </row>
    <row r="627" spans="1:50" x14ac:dyDescent="0.25">
      <c r="A627" s="533"/>
      <c r="B627" s="534"/>
      <c r="C627" s="534"/>
      <c r="D627" s="534"/>
      <c r="E627" s="534"/>
      <c r="F627" s="534"/>
      <c r="G627" s="534"/>
      <c r="H627" s="535" t="str">
        <f>IF(A626="","",LOOKUP(A626,BoonRef!$A$2:$A$430,BoonRef!$Q$2:$Q$430))</f>
        <v/>
      </c>
      <c r="I627" s="535"/>
      <c r="J627" s="529"/>
      <c r="K627" s="529"/>
      <c r="L627" s="529"/>
      <c r="M627" s="529"/>
      <c r="N627" s="529"/>
      <c r="O627" s="529"/>
      <c r="P627" s="529"/>
      <c r="Q627" s="529"/>
      <c r="R627" s="529"/>
      <c r="S627" s="529"/>
      <c r="T627" s="529"/>
      <c r="U627" s="529"/>
      <c r="V627" s="529"/>
      <c r="W627" s="529"/>
      <c r="X627" s="529"/>
      <c r="Y627" s="530"/>
      <c r="Z627" s="533"/>
      <c r="AA627" s="534"/>
      <c r="AB627" s="534"/>
      <c r="AC627" s="534"/>
      <c r="AD627" s="534"/>
      <c r="AE627" s="535"/>
      <c r="AF627" s="535"/>
      <c r="AG627" s="529"/>
      <c r="AH627" s="529"/>
      <c r="AI627" s="529"/>
      <c r="AJ627" s="529"/>
      <c r="AK627" s="529"/>
      <c r="AL627" s="529"/>
      <c r="AM627" s="529"/>
      <c r="AN627" s="529"/>
      <c r="AO627" s="529"/>
      <c r="AP627" s="529"/>
      <c r="AQ627" s="529"/>
      <c r="AR627" s="529"/>
      <c r="AS627" s="529"/>
      <c r="AT627" s="529"/>
      <c r="AU627" s="529"/>
      <c r="AV627" s="529"/>
      <c r="AW627" s="529"/>
      <c r="AX627" s="530"/>
    </row>
    <row r="628" spans="1:50" x14ac:dyDescent="0.25">
      <c r="A628" s="536" t="str">
        <f>IF(A626="","",LOOKUP(A626,BoonRef!$A$2:$A$430,BoonRef!$O$2:$O$430))</f>
        <v/>
      </c>
      <c r="B628" s="535"/>
      <c r="C628" s="535"/>
      <c r="D628" s="535"/>
      <c r="E628" s="535"/>
      <c r="F628" s="535"/>
      <c r="G628" s="535"/>
      <c r="H628" s="535"/>
      <c r="I628" s="535"/>
      <c r="J628" s="529"/>
      <c r="K628" s="529"/>
      <c r="L628" s="529"/>
      <c r="M628" s="529"/>
      <c r="N628" s="529"/>
      <c r="O628" s="529"/>
      <c r="P628" s="529"/>
      <c r="Q628" s="529"/>
      <c r="R628" s="529"/>
      <c r="S628" s="529"/>
      <c r="T628" s="529"/>
      <c r="U628" s="529"/>
      <c r="V628" s="529"/>
      <c r="W628" s="529"/>
      <c r="X628" s="529"/>
      <c r="Y628" s="530"/>
      <c r="Z628" s="536" t="str">
        <f>IF(Z626="","",LOOKUP(Z626,KanckRef!$A$2:$A$170,KanckRef!$D$2:$D$170))</f>
        <v/>
      </c>
      <c r="AA628" s="535"/>
      <c r="AB628" s="535"/>
      <c r="AC628" s="535"/>
      <c r="AD628" s="535"/>
      <c r="AE628" s="535"/>
      <c r="AF628" s="535"/>
      <c r="AG628" s="529"/>
      <c r="AH628" s="529"/>
      <c r="AI628" s="529"/>
      <c r="AJ628" s="529"/>
      <c r="AK628" s="529"/>
      <c r="AL628" s="529"/>
      <c r="AM628" s="529"/>
      <c r="AN628" s="529"/>
      <c r="AO628" s="529"/>
      <c r="AP628" s="529"/>
      <c r="AQ628" s="529"/>
      <c r="AR628" s="529"/>
      <c r="AS628" s="529"/>
      <c r="AT628" s="529"/>
      <c r="AU628" s="529"/>
      <c r="AV628" s="529"/>
      <c r="AW628" s="529"/>
      <c r="AX628" s="530"/>
    </row>
    <row r="629" spans="1:50" x14ac:dyDescent="0.25">
      <c r="A629" s="536" t="str">
        <f>IF(A626="","",LOOKUP(A626,BoonRef!$A$2:$A$430,BoonRef!$N$2:$N$430))</f>
        <v/>
      </c>
      <c r="B629" s="535"/>
      <c r="C629" s="535"/>
      <c r="D629" s="535"/>
      <c r="E629" s="535"/>
      <c r="F629" s="535"/>
      <c r="G629" s="535"/>
      <c r="H629" s="535"/>
      <c r="I629" s="535"/>
      <c r="J629" s="529"/>
      <c r="K629" s="529"/>
      <c r="L629" s="529"/>
      <c r="M629" s="529"/>
      <c r="N629" s="529"/>
      <c r="O629" s="529"/>
      <c r="P629" s="529"/>
      <c r="Q629" s="529"/>
      <c r="R629" s="529"/>
      <c r="S629" s="529"/>
      <c r="T629" s="529"/>
      <c r="U629" s="529"/>
      <c r="V629" s="529"/>
      <c r="W629" s="529"/>
      <c r="X629" s="529"/>
      <c r="Y629" s="530"/>
      <c r="Z629" s="536"/>
      <c r="AA629" s="535"/>
      <c r="AB629" s="535"/>
      <c r="AC629" s="535"/>
      <c r="AD629" s="535"/>
      <c r="AE629" s="535"/>
      <c r="AF629" s="535"/>
      <c r="AG629" s="529"/>
      <c r="AH629" s="529"/>
      <c r="AI629" s="529"/>
      <c r="AJ629" s="529"/>
      <c r="AK629" s="529"/>
      <c r="AL629" s="529"/>
      <c r="AM629" s="529"/>
      <c r="AN629" s="529"/>
      <c r="AO629" s="529"/>
      <c r="AP629" s="529"/>
      <c r="AQ629" s="529"/>
      <c r="AR629" s="529"/>
      <c r="AS629" s="529"/>
      <c r="AT629" s="529"/>
      <c r="AU629" s="529"/>
      <c r="AV629" s="529"/>
      <c r="AW629" s="529"/>
      <c r="AX629" s="530"/>
    </row>
    <row r="630" spans="1:50" ht="15.75" thickBot="1" x14ac:dyDescent="0.3">
      <c r="A630" s="537"/>
      <c r="B630" s="538"/>
      <c r="C630" s="538"/>
      <c r="D630" s="538"/>
      <c r="E630" s="538"/>
      <c r="F630" s="538"/>
      <c r="G630" s="538"/>
      <c r="H630" s="538"/>
      <c r="I630" s="538"/>
      <c r="J630" s="531"/>
      <c r="K630" s="531"/>
      <c r="L630" s="531"/>
      <c r="M630" s="531"/>
      <c r="N630" s="531"/>
      <c r="O630" s="531"/>
      <c r="P630" s="531"/>
      <c r="Q630" s="531"/>
      <c r="R630" s="531"/>
      <c r="S630" s="531"/>
      <c r="T630" s="531"/>
      <c r="U630" s="531"/>
      <c r="V630" s="531"/>
      <c r="W630" s="531"/>
      <c r="X630" s="531"/>
      <c r="Y630" s="532"/>
      <c r="Z630" s="537"/>
      <c r="AA630" s="538"/>
      <c r="AB630" s="538"/>
      <c r="AC630" s="538"/>
      <c r="AD630" s="538"/>
      <c r="AE630" s="538"/>
      <c r="AF630" s="538"/>
      <c r="AG630" s="531"/>
      <c r="AH630" s="531"/>
      <c r="AI630" s="531"/>
      <c r="AJ630" s="531"/>
      <c r="AK630" s="531"/>
      <c r="AL630" s="531"/>
      <c r="AM630" s="531"/>
      <c r="AN630" s="531"/>
      <c r="AO630" s="531"/>
      <c r="AP630" s="531"/>
      <c r="AQ630" s="531"/>
      <c r="AR630" s="531"/>
      <c r="AS630" s="531"/>
      <c r="AT630" s="531"/>
      <c r="AU630" s="531"/>
      <c r="AV630" s="531"/>
      <c r="AW630" s="531"/>
      <c r="AX630" s="532"/>
    </row>
    <row r="631" spans="1:50" x14ac:dyDescent="0.25">
      <c r="A631" s="524"/>
      <c r="B631" s="525"/>
      <c r="C631" s="525"/>
      <c r="D631" s="525"/>
      <c r="E631" s="525"/>
      <c r="F631" s="525"/>
      <c r="G631" s="525"/>
      <c r="H631" s="526" t="str">
        <f>IF(A632="","",LOOKUP(A632,BoonRef!$A$2:$A$430,BoonRef!$C$2:$C$430))</f>
        <v/>
      </c>
      <c r="I631" s="526"/>
      <c r="J631" s="527"/>
      <c r="K631" s="527"/>
      <c r="L631" s="527"/>
      <c r="M631" s="527"/>
      <c r="N631" s="527"/>
      <c r="O631" s="527"/>
      <c r="P631" s="527"/>
      <c r="Q631" s="527"/>
      <c r="R631" s="527"/>
      <c r="S631" s="527"/>
      <c r="T631" s="527"/>
      <c r="U631" s="527"/>
      <c r="V631" s="527"/>
      <c r="W631" s="527"/>
      <c r="X631" s="527"/>
      <c r="Y631" s="528"/>
      <c r="Z631" s="524"/>
      <c r="AA631" s="525"/>
      <c r="AB631" s="525"/>
      <c r="AC631" s="525"/>
      <c r="AD631" s="525"/>
      <c r="AE631" s="526" t="str">
        <f>IF(Z632="","",LOOKUP(Z632,KanckRef!$A$2:$A$170,KanckRef!$E$2:$E$170))</f>
        <v/>
      </c>
      <c r="AF631" s="526"/>
      <c r="AG631" s="527"/>
      <c r="AH631" s="527"/>
      <c r="AI631" s="527"/>
      <c r="AJ631" s="527"/>
      <c r="AK631" s="527"/>
      <c r="AL631" s="527"/>
      <c r="AM631" s="527"/>
      <c r="AN631" s="527"/>
      <c r="AO631" s="527"/>
      <c r="AP631" s="527"/>
      <c r="AQ631" s="527"/>
      <c r="AR631" s="527"/>
      <c r="AS631" s="527"/>
      <c r="AT631" s="527"/>
      <c r="AU631" s="527"/>
      <c r="AV631" s="527"/>
      <c r="AW631" s="527"/>
      <c r="AX631" s="528"/>
    </row>
    <row r="632" spans="1:50" x14ac:dyDescent="0.25">
      <c r="A632" s="533"/>
      <c r="B632" s="534"/>
      <c r="C632" s="534"/>
      <c r="D632" s="534"/>
      <c r="E632" s="534"/>
      <c r="F632" s="534"/>
      <c r="G632" s="534"/>
      <c r="H632" s="535" t="str">
        <f>IF(A632="","",LOOKUP(A632,BoonRef!$A$2:$A$430,BoonRef!$P$2:$P$430))</f>
        <v/>
      </c>
      <c r="I632" s="535"/>
      <c r="J632" s="529"/>
      <c r="K632" s="529"/>
      <c r="L632" s="529"/>
      <c r="M632" s="529"/>
      <c r="N632" s="529"/>
      <c r="O632" s="529"/>
      <c r="P632" s="529"/>
      <c r="Q632" s="529"/>
      <c r="R632" s="529"/>
      <c r="S632" s="529"/>
      <c r="T632" s="529"/>
      <c r="U632" s="529"/>
      <c r="V632" s="529"/>
      <c r="W632" s="529"/>
      <c r="X632" s="529"/>
      <c r="Y632" s="530"/>
      <c r="Z632" s="533"/>
      <c r="AA632" s="534"/>
      <c r="AB632" s="534"/>
      <c r="AC632" s="534"/>
      <c r="AD632" s="534"/>
      <c r="AE632" s="535" t="str">
        <f>IF(Z632="","",LOOKUP(Z632,KanckRef!$A$2:$A$170,KanckRef!$F$2:$F$170))</f>
        <v/>
      </c>
      <c r="AF632" s="535"/>
      <c r="AG632" s="529"/>
      <c r="AH632" s="529"/>
      <c r="AI632" s="529"/>
      <c r="AJ632" s="529"/>
      <c r="AK632" s="529"/>
      <c r="AL632" s="529"/>
      <c r="AM632" s="529"/>
      <c r="AN632" s="529"/>
      <c r="AO632" s="529"/>
      <c r="AP632" s="529"/>
      <c r="AQ632" s="529"/>
      <c r="AR632" s="529"/>
      <c r="AS632" s="529"/>
      <c r="AT632" s="529"/>
      <c r="AU632" s="529"/>
      <c r="AV632" s="529"/>
      <c r="AW632" s="529"/>
      <c r="AX632" s="530"/>
    </row>
    <row r="633" spans="1:50" x14ac:dyDescent="0.25">
      <c r="A633" s="533"/>
      <c r="B633" s="534"/>
      <c r="C633" s="534"/>
      <c r="D633" s="534"/>
      <c r="E633" s="534"/>
      <c r="F633" s="534"/>
      <c r="G633" s="534"/>
      <c r="H633" s="535" t="str">
        <f>IF(A632="","",LOOKUP(A632,BoonRef!$A$2:$A$430,BoonRef!$Q$2:$Q$430))</f>
        <v/>
      </c>
      <c r="I633" s="535"/>
      <c r="J633" s="529"/>
      <c r="K633" s="529"/>
      <c r="L633" s="529"/>
      <c r="M633" s="529"/>
      <c r="N633" s="529"/>
      <c r="O633" s="529"/>
      <c r="P633" s="529"/>
      <c r="Q633" s="529"/>
      <c r="R633" s="529"/>
      <c r="S633" s="529"/>
      <c r="T633" s="529"/>
      <c r="U633" s="529"/>
      <c r="V633" s="529"/>
      <c r="W633" s="529"/>
      <c r="X633" s="529"/>
      <c r="Y633" s="530"/>
      <c r="Z633" s="533"/>
      <c r="AA633" s="534"/>
      <c r="AB633" s="534"/>
      <c r="AC633" s="534"/>
      <c r="AD633" s="534"/>
      <c r="AE633" s="535"/>
      <c r="AF633" s="535"/>
      <c r="AG633" s="529"/>
      <c r="AH633" s="529"/>
      <c r="AI633" s="529"/>
      <c r="AJ633" s="529"/>
      <c r="AK633" s="529"/>
      <c r="AL633" s="529"/>
      <c r="AM633" s="529"/>
      <c r="AN633" s="529"/>
      <c r="AO633" s="529"/>
      <c r="AP633" s="529"/>
      <c r="AQ633" s="529"/>
      <c r="AR633" s="529"/>
      <c r="AS633" s="529"/>
      <c r="AT633" s="529"/>
      <c r="AU633" s="529"/>
      <c r="AV633" s="529"/>
      <c r="AW633" s="529"/>
      <c r="AX633" s="530"/>
    </row>
    <row r="634" spans="1:50" x14ac:dyDescent="0.25">
      <c r="A634" s="536" t="str">
        <f>IF(A632="","",LOOKUP(A632,BoonRef!$A$2:$A$430,BoonRef!$O$2:$O$430))</f>
        <v/>
      </c>
      <c r="B634" s="535"/>
      <c r="C634" s="535"/>
      <c r="D634" s="535"/>
      <c r="E634" s="535"/>
      <c r="F634" s="535"/>
      <c r="G634" s="535"/>
      <c r="H634" s="535"/>
      <c r="I634" s="535"/>
      <c r="J634" s="529"/>
      <c r="K634" s="529"/>
      <c r="L634" s="529"/>
      <c r="M634" s="529"/>
      <c r="N634" s="529"/>
      <c r="O634" s="529"/>
      <c r="P634" s="529"/>
      <c r="Q634" s="529"/>
      <c r="R634" s="529"/>
      <c r="S634" s="529"/>
      <c r="T634" s="529"/>
      <c r="U634" s="529"/>
      <c r="V634" s="529"/>
      <c r="W634" s="529"/>
      <c r="X634" s="529"/>
      <c r="Y634" s="530"/>
      <c r="Z634" s="536" t="str">
        <f>IF(Z632="","",LOOKUP(Z632,KanckRef!$A$2:$A$170,KanckRef!$D$2:$D$170))</f>
        <v/>
      </c>
      <c r="AA634" s="535"/>
      <c r="AB634" s="535"/>
      <c r="AC634" s="535"/>
      <c r="AD634" s="535"/>
      <c r="AE634" s="535"/>
      <c r="AF634" s="535"/>
      <c r="AG634" s="529"/>
      <c r="AH634" s="529"/>
      <c r="AI634" s="529"/>
      <c r="AJ634" s="529"/>
      <c r="AK634" s="529"/>
      <c r="AL634" s="529"/>
      <c r="AM634" s="529"/>
      <c r="AN634" s="529"/>
      <c r="AO634" s="529"/>
      <c r="AP634" s="529"/>
      <c r="AQ634" s="529"/>
      <c r="AR634" s="529"/>
      <c r="AS634" s="529"/>
      <c r="AT634" s="529"/>
      <c r="AU634" s="529"/>
      <c r="AV634" s="529"/>
      <c r="AW634" s="529"/>
      <c r="AX634" s="530"/>
    </row>
    <row r="635" spans="1:50" x14ac:dyDescent="0.25">
      <c r="A635" s="536" t="str">
        <f>IF(A632="","",LOOKUP(A632,BoonRef!$A$2:$A$430,BoonRef!$N$2:$N$430))</f>
        <v/>
      </c>
      <c r="B635" s="535"/>
      <c r="C635" s="535"/>
      <c r="D635" s="535"/>
      <c r="E635" s="535"/>
      <c r="F635" s="535"/>
      <c r="G635" s="535"/>
      <c r="H635" s="535"/>
      <c r="I635" s="535"/>
      <c r="J635" s="529"/>
      <c r="K635" s="529"/>
      <c r="L635" s="529"/>
      <c r="M635" s="529"/>
      <c r="N635" s="529"/>
      <c r="O635" s="529"/>
      <c r="P635" s="529"/>
      <c r="Q635" s="529"/>
      <c r="R635" s="529"/>
      <c r="S635" s="529"/>
      <c r="T635" s="529"/>
      <c r="U635" s="529"/>
      <c r="V635" s="529"/>
      <c r="W635" s="529"/>
      <c r="X635" s="529"/>
      <c r="Y635" s="530"/>
      <c r="Z635" s="536"/>
      <c r="AA635" s="535"/>
      <c r="AB635" s="535"/>
      <c r="AC635" s="535"/>
      <c r="AD635" s="535"/>
      <c r="AE635" s="535"/>
      <c r="AF635" s="535"/>
      <c r="AG635" s="529"/>
      <c r="AH635" s="529"/>
      <c r="AI635" s="529"/>
      <c r="AJ635" s="529"/>
      <c r="AK635" s="529"/>
      <c r="AL635" s="529"/>
      <c r="AM635" s="529"/>
      <c r="AN635" s="529"/>
      <c r="AO635" s="529"/>
      <c r="AP635" s="529"/>
      <c r="AQ635" s="529"/>
      <c r="AR635" s="529"/>
      <c r="AS635" s="529"/>
      <c r="AT635" s="529"/>
      <c r="AU635" s="529"/>
      <c r="AV635" s="529"/>
      <c r="AW635" s="529"/>
      <c r="AX635" s="530"/>
    </row>
    <row r="636" spans="1:50" ht="15.75" thickBot="1" x14ac:dyDescent="0.3">
      <c r="A636" s="537"/>
      <c r="B636" s="538"/>
      <c r="C636" s="538"/>
      <c r="D636" s="538"/>
      <c r="E636" s="538"/>
      <c r="F636" s="538"/>
      <c r="G636" s="538"/>
      <c r="H636" s="538"/>
      <c r="I636" s="538"/>
      <c r="J636" s="531"/>
      <c r="K636" s="531"/>
      <c r="L636" s="531"/>
      <c r="M636" s="531"/>
      <c r="N636" s="531"/>
      <c r="O636" s="531"/>
      <c r="P636" s="531"/>
      <c r="Q636" s="531"/>
      <c r="R636" s="531"/>
      <c r="S636" s="531"/>
      <c r="T636" s="531"/>
      <c r="U636" s="531"/>
      <c r="V636" s="531"/>
      <c r="W636" s="531"/>
      <c r="X636" s="531"/>
      <c r="Y636" s="532"/>
      <c r="Z636" s="537"/>
      <c r="AA636" s="538"/>
      <c r="AB636" s="538"/>
      <c r="AC636" s="538"/>
      <c r="AD636" s="538"/>
      <c r="AE636" s="538"/>
      <c r="AF636" s="538"/>
      <c r="AG636" s="531"/>
      <c r="AH636" s="531"/>
      <c r="AI636" s="531"/>
      <c r="AJ636" s="531"/>
      <c r="AK636" s="531"/>
      <c r="AL636" s="531"/>
      <c r="AM636" s="531"/>
      <c r="AN636" s="531"/>
      <c r="AO636" s="531"/>
      <c r="AP636" s="531"/>
      <c r="AQ636" s="531"/>
      <c r="AR636" s="531"/>
      <c r="AS636" s="531"/>
      <c r="AT636" s="531"/>
      <c r="AU636" s="531"/>
      <c r="AV636" s="531"/>
      <c r="AW636" s="531"/>
      <c r="AX636" s="532"/>
    </row>
    <row r="637" spans="1:50" x14ac:dyDescent="0.25">
      <c r="A637" s="524"/>
      <c r="B637" s="525"/>
      <c r="C637" s="525"/>
      <c r="D637" s="525"/>
      <c r="E637" s="525"/>
      <c r="F637" s="525"/>
      <c r="G637" s="525"/>
      <c r="H637" s="526" t="str">
        <f>IF(A638="","",LOOKUP(A638,BoonRef!$A$2:$A$430,BoonRef!$C$2:$C$430))</f>
        <v/>
      </c>
      <c r="I637" s="526"/>
      <c r="J637" s="527"/>
      <c r="K637" s="527"/>
      <c r="L637" s="527"/>
      <c r="M637" s="527"/>
      <c r="N637" s="527"/>
      <c r="O637" s="527"/>
      <c r="P637" s="527"/>
      <c r="Q637" s="527"/>
      <c r="R637" s="527"/>
      <c r="S637" s="527"/>
      <c r="T637" s="527"/>
      <c r="U637" s="527"/>
      <c r="V637" s="527"/>
      <c r="W637" s="527"/>
      <c r="X637" s="527"/>
      <c r="Y637" s="528"/>
      <c r="Z637" s="524"/>
      <c r="AA637" s="525"/>
      <c r="AB637" s="525"/>
      <c r="AC637" s="525"/>
      <c r="AD637" s="525"/>
      <c r="AE637" s="526" t="str">
        <f>IF(Z638="","",LOOKUP(Z638,KanckRef!$A$2:$A$170,KanckRef!$E$2:$E$170))</f>
        <v/>
      </c>
      <c r="AF637" s="526"/>
      <c r="AG637" s="527"/>
      <c r="AH637" s="527"/>
      <c r="AI637" s="527"/>
      <c r="AJ637" s="527"/>
      <c r="AK637" s="527"/>
      <c r="AL637" s="527"/>
      <c r="AM637" s="527"/>
      <c r="AN637" s="527"/>
      <c r="AO637" s="527"/>
      <c r="AP637" s="527"/>
      <c r="AQ637" s="527"/>
      <c r="AR637" s="527"/>
      <c r="AS637" s="527"/>
      <c r="AT637" s="527"/>
      <c r="AU637" s="527"/>
      <c r="AV637" s="527"/>
      <c r="AW637" s="527"/>
      <c r="AX637" s="528"/>
    </row>
    <row r="638" spans="1:50" x14ac:dyDescent="0.25">
      <c r="A638" s="533"/>
      <c r="B638" s="534"/>
      <c r="C638" s="534"/>
      <c r="D638" s="534"/>
      <c r="E638" s="534"/>
      <c r="F638" s="534"/>
      <c r="G638" s="534"/>
      <c r="H638" s="535" t="str">
        <f>IF(A638="","",LOOKUP(A638,BoonRef!$A$2:$A$430,BoonRef!$P$2:$P$430))</f>
        <v/>
      </c>
      <c r="I638" s="535"/>
      <c r="J638" s="529"/>
      <c r="K638" s="529"/>
      <c r="L638" s="529"/>
      <c r="M638" s="529"/>
      <c r="N638" s="529"/>
      <c r="O638" s="529"/>
      <c r="P638" s="529"/>
      <c r="Q638" s="529"/>
      <c r="R638" s="529"/>
      <c r="S638" s="529"/>
      <c r="T638" s="529"/>
      <c r="U638" s="529"/>
      <c r="V638" s="529"/>
      <c r="W638" s="529"/>
      <c r="X638" s="529"/>
      <c r="Y638" s="530"/>
      <c r="Z638" s="533"/>
      <c r="AA638" s="534"/>
      <c r="AB638" s="534"/>
      <c r="AC638" s="534"/>
      <c r="AD638" s="534"/>
      <c r="AE638" s="535" t="str">
        <f>IF(Z638="","",LOOKUP(Z638,KanckRef!$A$2:$A$170,KanckRef!$F$2:$F$170))</f>
        <v/>
      </c>
      <c r="AF638" s="535"/>
      <c r="AG638" s="529"/>
      <c r="AH638" s="529"/>
      <c r="AI638" s="529"/>
      <c r="AJ638" s="529"/>
      <c r="AK638" s="529"/>
      <c r="AL638" s="529"/>
      <c r="AM638" s="529"/>
      <c r="AN638" s="529"/>
      <c r="AO638" s="529"/>
      <c r="AP638" s="529"/>
      <c r="AQ638" s="529"/>
      <c r="AR638" s="529"/>
      <c r="AS638" s="529"/>
      <c r="AT638" s="529"/>
      <c r="AU638" s="529"/>
      <c r="AV638" s="529"/>
      <c r="AW638" s="529"/>
      <c r="AX638" s="530"/>
    </row>
    <row r="639" spans="1:50" x14ac:dyDescent="0.25">
      <c r="A639" s="533"/>
      <c r="B639" s="534"/>
      <c r="C639" s="534"/>
      <c r="D639" s="534"/>
      <c r="E639" s="534"/>
      <c r="F639" s="534"/>
      <c r="G639" s="534"/>
      <c r="H639" s="535" t="str">
        <f>IF(A638="","",LOOKUP(A638,BoonRef!$A$2:$A$430,BoonRef!$Q$2:$Q$430))</f>
        <v/>
      </c>
      <c r="I639" s="535"/>
      <c r="J639" s="529"/>
      <c r="K639" s="529"/>
      <c r="L639" s="529"/>
      <c r="M639" s="529"/>
      <c r="N639" s="529"/>
      <c r="O639" s="529"/>
      <c r="P639" s="529"/>
      <c r="Q639" s="529"/>
      <c r="R639" s="529"/>
      <c r="S639" s="529"/>
      <c r="T639" s="529"/>
      <c r="U639" s="529"/>
      <c r="V639" s="529"/>
      <c r="W639" s="529"/>
      <c r="X639" s="529"/>
      <c r="Y639" s="530"/>
      <c r="Z639" s="533"/>
      <c r="AA639" s="534"/>
      <c r="AB639" s="534"/>
      <c r="AC639" s="534"/>
      <c r="AD639" s="534"/>
      <c r="AE639" s="535"/>
      <c r="AF639" s="535"/>
      <c r="AG639" s="529"/>
      <c r="AH639" s="529"/>
      <c r="AI639" s="529"/>
      <c r="AJ639" s="529"/>
      <c r="AK639" s="529"/>
      <c r="AL639" s="529"/>
      <c r="AM639" s="529"/>
      <c r="AN639" s="529"/>
      <c r="AO639" s="529"/>
      <c r="AP639" s="529"/>
      <c r="AQ639" s="529"/>
      <c r="AR639" s="529"/>
      <c r="AS639" s="529"/>
      <c r="AT639" s="529"/>
      <c r="AU639" s="529"/>
      <c r="AV639" s="529"/>
      <c r="AW639" s="529"/>
      <c r="AX639" s="530"/>
    </row>
    <row r="640" spans="1:50" x14ac:dyDescent="0.25">
      <c r="A640" s="536" t="str">
        <f>IF(A638="","",LOOKUP(A638,BoonRef!$A$2:$A$430,BoonRef!$O$2:$O$430))</f>
        <v/>
      </c>
      <c r="B640" s="535"/>
      <c r="C640" s="535"/>
      <c r="D640" s="535"/>
      <c r="E640" s="535"/>
      <c r="F640" s="535"/>
      <c r="G640" s="535"/>
      <c r="H640" s="535"/>
      <c r="I640" s="535"/>
      <c r="J640" s="529"/>
      <c r="K640" s="529"/>
      <c r="L640" s="529"/>
      <c r="M640" s="529"/>
      <c r="N640" s="529"/>
      <c r="O640" s="529"/>
      <c r="P640" s="529"/>
      <c r="Q640" s="529"/>
      <c r="R640" s="529"/>
      <c r="S640" s="529"/>
      <c r="T640" s="529"/>
      <c r="U640" s="529"/>
      <c r="V640" s="529"/>
      <c r="W640" s="529"/>
      <c r="X640" s="529"/>
      <c r="Y640" s="530"/>
      <c r="Z640" s="536" t="str">
        <f>IF(Z638="","",LOOKUP(Z638,KanckRef!$A$2:$A$170,KanckRef!$D$2:$D$170))</f>
        <v/>
      </c>
      <c r="AA640" s="535"/>
      <c r="AB640" s="535"/>
      <c r="AC640" s="535"/>
      <c r="AD640" s="535"/>
      <c r="AE640" s="535"/>
      <c r="AF640" s="535"/>
      <c r="AG640" s="529"/>
      <c r="AH640" s="529"/>
      <c r="AI640" s="529"/>
      <c r="AJ640" s="529"/>
      <c r="AK640" s="529"/>
      <c r="AL640" s="529"/>
      <c r="AM640" s="529"/>
      <c r="AN640" s="529"/>
      <c r="AO640" s="529"/>
      <c r="AP640" s="529"/>
      <c r="AQ640" s="529"/>
      <c r="AR640" s="529"/>
      <c r="AS640" s="529"/>
      <c r="AT640" s="529"/>
      <c r="AU640" s="529"/>
      <c r="AV640" s="529"/>
      <c r="AW640" s="529"/>
      <c r="AX640" s="530"/>
    </row>
    <row r="641" spans="1:50" x14ac:dyDescent="0.25">
      <c r="A641" s="536" t="str">
        <f>IF(A638="","",LOOKUP(A638,BoonRef!$A$2:$A$430,BoonRef!$N$2:$N$430))</f>
        <v/>
      </c>
      <c r="B641" s="535"/>
      <c r="C641" s="535"/>
      <c r="D641" s="535"/>
      <c r="E641" s="535"/>
      <c r="F641" s="535"/>
      <c r="G641" s="535"/>
      <c r="H641" s="535"/>
      <c r="I641" s="535"/>
      <c r="J641" s="529"/>
      <c r="K641" s="529"/>
      <c r="L641" s="529"/>
      <c r="M641" s="529"/>
      <c r="N641" s="529"/>
      <c r="O641" s="529"/>
      <c r="P641" s="529"/>
      <c r="Q641" s="529"/>
      <c r="R641" s="529"/>
      <c r="S641" s="529"/>
      <c r="T641" s="529"/>
      <c r="U641" s="529"/>
      <c r="V641" s="529"/>
      <c r="W641" s="529"/>
      <c r="X641" s="529"/>
      <c r="Y641" s="530"/>
      <c r="Z641" s="536"/>
      <c r="AA641" s="535"/>
      <c r="AB641" s="535"/>
      <c r="AC641" s="535"/>
      <c r="AD641" s="535"/>
      <c r="AE641" s="535"/>
      <c r="AF641" s="535"/>
      <c r="AG641" s="529"/>
      <c r="AH641" s="529"/>
      <c r="AI641" s="529"/>
      <c r="AJ641" s="529"/>
      <c r="AK641" s="529"/>
      <c r="AL641" s="529"/>
      <c r="AM641" s="529"/>
      <c r="AN641" s="529"/>
      <c r="AO641" s="529"/>
      <c r="AP641" s="529"/>
      <c r="AQ641" s="529"/>
      <c r="AR641" s="529"/>
      <c r="AS641" s="529"/>
      <c r="AT641" s="529"/>
      <c r="AU641" s="529"/>
      <c r="AV641" s="529"/>
      <c r="AW641" s="529"/>
      <c r="AX641" s="530"/>
    </row>
    <row r="642" spans="1:50" ht="15.75" thickBot="1" x14ac:dyDescent="0.3">
      <c r="A642" s="537"/>
      <c r="B642" s="538"/>
      <c r="C642" s="538"/>
      <c r="D642" s="538"/>
      <c r="E642" s="538"/>
      <c r="F642" s="538"/>
      <c r="G642" s="538"/>
      <c r="H642" s="538"/>
      <c r="I642" s="538"/>
      <c r="J642" s="531"/>
      <c r="K642" s="531"/>
      <c r="L642" s="531"/>
      <c r="M642" s="531"/>
      <c r="N642" s="531"/>
      <c r="O642" s="531"/>
      <c r="P642" s="531"/>
      <c r="Q642" s="531"/>
      <c r="R642" s="531"/>
      <c r="S642" s="531"/>
      <c r="T642" s="531"/>
      <c r="U642" s="531"/>
      <c r="V642" s="531"/>
      <c r="W642" s="531"/>
      <c r="X642" s="531"/>
      <c r="Y642" s="532"/>
      <c r="Z642" s="537"/>
      <c r="AA642" s="538"/>
      <c r="AB642" s="538"/>
      <c r="AC642" s="538"/>
      <c r="AD642" s="538"/>
      <c r="AE642" s="538"/>
      <c r="AF642" s="538"/>
      <c r="AG642" s="531"/>
      <c r="AH642" s="531"/>
      <c r="AI642" s="531"/>
      <c r="AJ642" s="531"/>
      <c r="AK642" s="531"/>
      <c r="AL642" s="531"/>
      <c r="AM642" s="531"/>
      <c r="AN642" s="531"/>
      <c r="AO642" s="531"/>
      <c r="AP642" s="531"/>
      <c r="AQ642" s="531"/>
      <c r="AR642" s="531"/>
      <c r="AS642" s="531"/>
      <c r="AT642" s="531"/>
      <c r="AU642" s="531"/>
      <c r="AV642" s="531"/>
      <c r="AW642" s="531"/>
      <c r="AX642" s="532"/>
    </row>
    <row r="643" spans="1:50" x14ac:dyDescent="0.25">
      <c r="A643" s="524"/>
      <c r="B643" s="525"/>
      <c r="C643" s="525"/>
      <c r="D643" s="525"/>
      <c r="E643" s="525"/>
      <c r="F643" s="525"/>
      <c r="G643" s="525"/>
      <c r="H643" s="526" t="str">
        <f>IF(A644="","",LOOKUP(A644,BoonRef!$A$2:$A$430,BoonRef!$C$2:$C$430))</f>
        <v/>
      </c>
      <c r="I643" s="526"/>
      <c r="J643" s="527"/>
      <c r="K643" s="527"/>
      <c r="L643" s="527"/>
      <c r="M643" s="527"/>
      <c r="N643" s="527"/>
      <c r="O643" s="527"/>
      <c r="P643" s="527"/>
      <c r="Q643" s="527"/>
      <c r="R643" s="527"/>
      <c r="S643" s="527"/>
      <c r="T643" s="527"/>
      <c r="U643" s="527"/>
      <c r="V643" s="527"/>
      <c r="W643" s="527"/>
      <c r="X643" s="527"/>
      <c r="Y643" s="528"/>
      <c r="Z643" s="524"/>
      <c r="AA643" s="525"/>
      <c r="AB643" s="525"/>
      <c r="AC643" s="525"/>
      <c r="AD643" s="525"/>
      <c r="AE643" s="526" t="str">
        <f>IF(Z644="","",LOOKUP(Z644,KanckRef!$A$2:$A$170,KanckRef!$E$2:$E$170))</f>
        <v/>
      </c>
      <c r="AF643" s="526"/>
      <c r="AG643" s="527"/>
      <c r="AH643" s="527"/>
      <c r="AI643" s="527"/>
      <c r="AJ643" s="527"/>
      <c r="AK643" s="527"/>
      <c r="AL643" s="527"/>
      <c r="AM643" s="527"/>
      <c r="AN643" s="527"/>
      <c r="AO643" s="527"/>
      <c r="AP643" s="527"/>
      <c r="AQ643" s="527"/>
      <c r="AR643" s="527"/>
      <c r="AS643" s="527"/>
      <c r="AT643" s="527"/>
      <c r="AU643" s="527"/>
      <c r="AV643" s="527"/>
      <c r="AW643" s="527"/>
      <c r="AX643" s="528"/>
    </row>
    <row r="644" spans="1:50" x14ac:dyDescent="0.25">
      <c r="A644" s="533"/>
      <c r="B644" s="534"/>
      <c r="C644" s="534"/>
      <c r="D644" s="534"/>
      <c r="E644" s="534"/>
      <c r="F644" s="534"/>
      <c r="G644" s="534"/>
      <c r="H644" s="535" t="str">
        <f>IF(A644="","",LOOKUP(A644,BoonRef!$A$2:$A$430,BoonRef!$P$2:$P$430))</f>
        <v/>
      </c>
      <c r="I644" s="535"/>
      <c r="J644" s="529"/>
      <c r="K644" s="529"/>
      <c r="L644" s="529"/>
      <c r="M644" s="529"/>
      <c r="N644" s="529"/>
      <c r="O644" s="529"/>
      <c r="P644" s="529"/>
      <c r="Q644" s="529"/>
      <c r="R644" s="529"/>
      <c r="S644" s="529"/>
      <c r="T644" s="529"/>
      <c r="U644" s="529"/>
      <c r="V644" s="529"/>
      <c r="W644" s="529"/>
      <c r="X644" s="529"/>
      <c r="Y644" s="530"/>
      <c r="Z644" s="533"/>
      <c r="AA644" s="534"/>
      <c r="AB644" s="534"/>
      <c r="AC644" s="534"/>
      <c r="AD644" s="534"/>
      <c r="AE644" s="535" t="str">
        <f>IF(Z644="","",LOOKUP(Z644,KanckRef!$A$2:$A$170,KanckRef!$F$2:$F$170))</f>
        <v/>
      </c>
      <c r="AF644" s="535"/>
      <c r="AG644" s="529"/>
      <c r="AH644" s="529"/>
      <c r="AI644" s="529"/>
      <c r="AJ644" s="529"/>
      <c r="AK644" s="529"/>
      <c r="AL644" s="529"/>
      <c r="AM644" s="529"/>
      <c r="AN644" s="529"/>
      <c r="AO644" s="529"/>
      <c r="AP644" s="529"/>
      <c r="AQ644" s="529"/>
      <c r="AR644" s="529"/>
      <c r="AS644" s="529"/>
      <c r="AT644" s="529"/>
      <c r="AU644" s="529"/>
      <c r="AV644" s="529"/>
      <c r="AW644" s="529"/>
      <c r="AX644" s="530"/>
    </row>
    <row r="645" spans="1:50" x14ac:dyDescent="0.25">
      <c r="A645" s="533"/>
      <c r="B645" s="534"/>
      <c r="C645" s="534"/>
      <c r="D645" s="534"/>
      <c r="E645" s="534"/>
      <c r="F645" s="534"/>
      <c r="G645" s="534"/>
      <c r="H645" s="535" t="str">
        <f>IF(A644="","",LOOKUP(A644,BoonRef!$A$2:$A$430,BoonRef!$Q$2:$Q$430))</f>
        <v/>
      </c>
      <c r="I645" s="535"/>
      <c r="J645" s="529"/>
      <c r="K645" s="529"/>
      <c r="L645" s="529"/>
      <c r="M645" s="529"/>
      <c r="N645" s="529"/>
      <c r="O645" s="529"/>
      <c r="P645" s="529"/>
      <c r="Q645" s="529"/>
      <c r="R645" s="529"/>
      <c r="S645" s="529"/>
      <c r="T645" s="529"/>
      <c r="U645" s="529"/>
      <c r="V645" s="529"/>
      <c r="W645" s="529"/>
      <c r="X645" s="529"/>
      <c r="Y645" s="530"/>
      <c r="Z645" s="533"/>
      <c r="AA645" s="534"/>
      <c r="AB645" s="534"/>
      <c r="AC645" s="534"/>
      <c r="AD645" s="534"/>
      <c r="AE645" s="535"/>
      <c r="AF645" s="535"/>
      <c r="AG645" s="529"/>
      <c r="AH645" s="529"/>
      <c r="AI645" s="529"/>
      <c r="AJ645" s="529"/>
      <c r="AK645" s="529"/>
      <c r="AL645" s="529"/>
      <c r="AM645" s="529"/>
      <c r="AN645" s="529"/>
      <c r="AO645" s="529"/>
      <c r="AP645" s="529"/>
      <c r="AQ645" s="529"/>
      <c r="AR645" s="529"/>
      <c r="AS645" s="529"/>
      <c r="AT645" s="529"/>
      <c r="AU645" s="529"/>
      <c r="AV645" s="529"/>
      <c r="AW645" s="529"/>
      <c r="AX645" s="530"/>
    </row>
    <row r="646" spans="1:50" x14ac:dyDescent="0.25">
      <c r="A646" s="536" t="str">
        <f>IF(A644="","",LOOKUP(A644,BoonRef!$A$2:$A$430,BoonRef!$O$2:$O$430))</f>
        <v/>
      </c>
      <c r="B646" s="535"/>
      <c r="C646" s="535"/>
      <c r="D646" s="535"/>
      <c r="E646" s="535"/>
      <c r="F646" s="535"/>
      <c r="G646" s="535"/>
      <c r="H646" s="535"/>
      <c r="I646" s="535"/>
      <c r="J646" s="529"/>
      <c r="K646" s="529"/>
      <c r="L646" s="529"/>
      <c r="M646" s="529"/>
      <c r="N646" s="529"/>
      <c r="O646" s="529"/>
      <c r="P646" s="529"/>
      <c r="Q646" s="529"/>
      <c r="R646" s="529"/>
      <c r="S646" s="529"/>
      <c r="T646" s="529"/>
      <c r="U646" s="529"/>
      <c r="V646" s="529"/>
      <c r="W646" s="529"/>
      <c r="X646" s="529"/>
      <c r="Y646" s="530"/>
      <c r="Z646" s="536" t="str">
        <f>IF(Z644="","",LOOKUP(Z644,KanckRef!$A$2:$A$170,KanckRef!$D$2:$D$170))</f>
        <v/>
      </c>
      <c r="AA646" s="535"/>
      <c r="AB646" s="535"/>
      <c r="AC646" s="535"/>
      <c r="AD646" s="535"/>
      <c r="AE646" s="535"/>
      <c r="AF646" s="535"/>
      <c r="AG646" s="529"/>
      <c r="AH646" s="529"/>
      <c r="AI646" s="529"/>
      <c r="AJ646" s="529"/>
      <c r="AK646" s="529"/>
      <c r="AL646" s="529"/>
      <c r="AM646" s="529"/>
      <c r="AN646" s="529"/>
      <c r="AO646" s="529"/>
      <c r="AP646" s="529"/>
      <c r="AQ646" s="529"/>
      <c r="AR646" s="529"/>
      <c r="AS646" s="529"/>
      <c r="AT646" s="529"/>
      <c r="AU646" s="529"/>
      <c r="AV646" s="529"/>
      <c r="AW646" s="529"/>
      <c r="AX646" s="530"/>
    </row>
    <row r="647" spans="1:50" x14ac:dyDescent="0.25">
      <c r="A647" s="536" t="str">
        <f>IF(A644="","",LOOKUP(A644,BoonRef!$A$2:$A$430,BoonRef!$N$2:$N$430))</f>
        <v/>
      </c>
      <c r="B647" s="535"/>
      <c r="C647" s="535"/>
      <c r="D647" s="535"/>
      <c r="E647" s="535"/>
      <c r="F647" s="535"/>
      <c r="G647" s="535"/>
      <c r="H647" s="535"/>
      <c r="I647" s="535"/>
      <c r="J647" s="529"/>
      <c r="K647" s="529"/>
      <c r="L647" s="529"/>
      <c r="M647" s="529"/>
      <c r="N647" s="529"/>
      <c r="O647" s="529"/>
      <c r="P647" s="529"/>
      <c r="Q647" s="529"/>
      <c r="R647" s="529"/>
      <c r="S647" s="529"/>
      <c r="T647" s="529"/>
      <c r="U647" s="529"/>
      <c r="V647" s="529"/>
      <c r="W647" s="529"/>
      <c r="X647" s="529"/>
      <c r="Y647" s="530"/>
      <c r="Z647" s="536"/>
      <c r="AA647" s="535"/>
      <c r="AB647" s="535"/>
      <c r="AC647" s="535"/>
      <c r="AD647" s="535"/>
      <c r="AE647" s="535"/>
      <c r="AF647" s="535"/>
      <c r="AG647" s="529"/>
      <c r="AH647" s="529"/>
      <c r="AI647" s="529"/>
      <c r="AJ647" s="529"/>
      <c r="AK647" s="529"/>
      <c r="AL647" s="529"/>
      <c r="AM647" s="529"/>
      <c r="AN647" s="529"/>
      <c r="AO647" s="529"/>
      <c r="AP647" s="529"/>
      <c r="AQ647" s="529"/>
      <c r="AR647" s="529"/>
      <c r="AS647" s="529"/>
      <c r="AT647" s="529"/>
      <c r="AU647" s="529"/>
      <c r="AV647" s="529"/>
      <c r="AW647" s="529"/>
      <c r="AX647" s="530"/>
    </row>
    <row r="648" spans="1:50" ht="15.75" thickBot="1" x14ac:dyDescent="0.3">
      <c r="A648" s="537"/>
      <c r="B648" s="538"/>
      <c r="C648" s="538"/>
      <c r="D648" s="538"/>
      <c r="E648" s="538"/>
      <c r="F648" s="538"/>
      <c r="G648" s="538"/>
      <c r="H648" s="538"/>
      <c r="I648" s="538"/>
      <c r="J648" s="531"/>
      <c r="K648" s="531"/>
      <c r="L648" s="531"/>
      <c r="M648" s="531"/>
      <c r="N648" s="531"/>
      <c r="O648" s="531"/>
      <c r="P648" s="531"/>
      <c r="Q648" s="531"/>
      <c r="R648" s="531"/>
      <c r="S648" s="531"/>
      <c r="T648" s="531"/>
      <c r="U648" s="531"/>
      <c r="V648" s="531"/>
      <c r="W648" s="531"/>
      <c r="X648" s="531"/>
      <c r="Y648" s="532"/>
      <c r="Z648" s="537"/>
      <c r="AA648" s="538"/>
      <c r="AB648" s="538"/>
      <c r="AC648" s="538"/>
      <c r="AD648" s="538"/>
      <c r="AE648" s="538"/>
      <c r="AF648" s="538"/>
      <c r="AG648" s="531"/>
      <c r="AH648" s="531"/>
      <c r="AI648" s="531"/>
      <c r="AJ648" s="531"/>
      <c r="AK648" s="531"/>
      <c r="AL648" s="531"/>
      <c r="AM648" s="531"/>
      <c r="AN648" s="531"/>
      <c r="AO648" s="531"/>
      <c r="AP648" s="531"/>
      <c r="AQ648" s="531"/>
      <c r="AR648" s="531"/>
      <c r="AS648" s="531"/>
      <c r="AT648" s="531"/>
      <c r="AU648" s="531"/>
      <c r="AV648" s="531"/>
      <c r="AW648" s="531"/>
      <c r="AX648" s="532"/>
    </row>
  </sheetData>
  <sheetProtection password="E9C2" sheet="1" objects="1" scenarios="1" selectLockedCells="1"/>
  <sortState ref="J16:Y129">
    <sortCondition ref="J118"/>
  </sortState>
  <mergeCells count="1512">
    <mergeCell ref="AG109:AX114"/>
    <mergeCell ref="AG115:AX120"/>
    <mergeCell ref="J7:Y12"/>
    <mergeCell ref="H379:I379"/>
    <mergeCell ref="H237:I237"/>
    <mergeCell ref="A353:I354"/>
    <mergeCell ref="H362:I362"/>
    <mergeCell ref="H363:I363"/>
    <mergeCell ref="H229:I229"/>
    <mergeCell ref="H207:I207"/>
    <mergeCell ref="H212:I212"/>
    <mergeCell ref="H213:I213"/>
    <mergeCell ref="H243:I243"/>
    <mergeCell ref="H248:I248"/>
    <mergeCell ref="H253:I253"/>
    <mergeCell ref="A247:G247"/>
    <mergeCell ref="H247:I247"/>
    <mergeCell ref="A248:G249"/>
    <mergeCell ref="A233:I234"/>
    <mergeCell ref="H242:I242"/>
    <mergeCell ref="H249:I249"/>
    <mergeCell ref="Z79:AD79"/>
    <mergeCell ref="AE80:AF81"/>
    <mergeCell ref="Z82:AF84"/>
    <mergeCell ref="Z158:AD159"/>
    <mergeCell ref="AE158:AF159"/>
    <mergeCell ref="H159:I159"/>
    <mergeCell ref="H169:I169"/>
    <mergeCell ref="H164:I164"/>
    <mergeCell ref="H170:I170"/>
    <mergeCell ref="Z7:AD7"/>
    <mergeCell ref="AE8:AF9"/>
    <mergeCell ref="Z8:AD9"/>
    <mergeCell ref="AE1:AF1"/>
    <mergeCell ref="AE2:AF3"/>
    <mergeCell ref="Z1:AD1"/>
    <mergeCell ref="Z2:AD3"/>
    <mergeCell ref="A1:G1"/>
    <mergeCell ref="A4:I4"/>
    <mergeCell ref="H194:I194"/>
    <mergeCell ref="H182:I182"/>
    <mergeCell ref="H109:I109"/>
    <mergeCell ref="H117:I117"/>
    <mergeCell ref="A97:G97"/>
    <mergeCell ref="H97:I97"/>
    <mergeCell ref="Z97:AD97"/>
    <mergeCell ref="AE97:AF97"/>
    <mergeCell ref="A98:G99"/>
    <mergeCell ref="Z98:AD99"/>
    <mergeCell ref="AE98:AF99"/>
    <mergeCell ref="H99:I99"/>
    <mergeCell ref="H93:I93"/>
    <mergeCell ref="A100:I100"/>
    <mergeCell ref="H153:I153"/>
    <mergeCell ref="H163:I163"/>
    <mergeCell ref="H158:I158"/>
    <mergeCell ref="H183:I183"/>
    <mergeCell ref="H98:I98"/>
    <mergeCell ref="H193:I193"/>
    <mergeCell ref="A83:I84"/>
    <mergeCell ref="H92:I92"/>
    <mergeCell ref="Z4:AF6"/>
    <mergeCell ref="A5:I6"/>
    <mergeCell ref="J1:Y6"/>
    <mergeCell ref="Z34:AF36"/>
    <mergeCell ref="J37:Y42"/>
    <mergeCell ref="A23:I24"/>
    <mergeCell ref="H32:I32"/>
    <mergeCell ref="A37:G37"/>
    <mergeCell ref="H37:I37"/>
    <mergeCell ref="Z37:AD37"/>
    <mergeCell ref="AE37:AF37"/>
    <mergeCell ref="A38:G39"/>
    <mergeCell ref="Z38:AD39"/>
    <mergeCell ref="AE38:AF39"/>
    <mergeCell ref="H39:I39"/>
    <mergeCell ref="H33:I33"/>
    <mergeCell ref="H38:I38"/>
    <mergeCell ref="Z26:AD27"/>
    <mergeCell ref="AE26:AF27"/>
    <mergeCell ref="Z28:AF30"/>
    <mergeCell ref="H27:I27"/>
    <mergeCell ref="J31:Y36"/>
    <mergeCell ref="Z31:AD31"/>
    <mergeCell ref="AE31:AF31"/>
    <mergeCell ref="A2:G3"/>
    <mergeCell ref="H1:I1"/>
    <mergeCell ref="A7:G7"/>
    <mergeCell ref="A8:G9"/>
    <mergeCell ref="H7:I7"/>
    <mergeCell ref="H3:I3"/>
    <mergeCell ref="H2:I2"/>
    <mergeCell ref="H9:I9"/>
    <mergeCell ref="A173:I174"/>
    <mergeCell ref="A169:G169"/>
    <mergeCell ref="J169:Y174"/>
    <mergeCell ref="Z169:AD169"/>
    <mergeCell ref="AE169:AF169"/>
    <mergeCell ref="H139:I139"/>
    <mergeCell ref="H87:I87"/>
    <mergeCell ref="A127:G127"/>
    <mergeCell ref="H127:I127"/>
    <mergeCell ref="Z127:AD127"/>
    <mergeCell ref="AE127:AF127"/>
    <mergeCell ref="A128:G129"/>
    <mergeCell ref="Z128:AD129"/>
    <mergeCell ref="AE128:AF129"/>
    <mergeCell ref="H129:I129"/>
    <mergeCell ref="A113:I114"/>
    <mergeCell ref="H122:I122"/>
    <mergeCell ref="J145:Y150"/>
    <mergeCell ref="Z145:AD145"/>
    <mergeCell ref="AE145:AF145"/>
    <mergeCell ref="J91:Y96"/>
    <mergeCell ref="H115:I115"/>
    <mergeCell ref="J115:Y120"/>
    <mergeCell ref="Z115:AD115"/>
    <mergeCell ref="AE115:AF115"/>
    <mergeCell ref="J133:Y138"/>
    <mergeCell ref="A166:I166"/>
    <mergeCell ref="A134:G135"/>
    <mergeCell ref="Z134:AD135"/>
    <mergeCell ref="AE134:AF135"/>
    <mergeCell ref="H135:I135"/>
    <mergeCell ref="H140:I140"/>
    <mergeCell ref="AE188:AF189"/>
    <mergeCell ref="H189:I189"/>
    <mergeCell ref="H188:I188"/>
    <mergeCell ref="H195:I195"/>
    <mergeCell ref="Z196:AF198"/>
    <mergeCell ref="A197:I198"/>
    <mergeCell ref="A199:G199"/>
    <mergeCell ref="J199:Y204"/>
    <mergeCell ref="Z199:AD199"/>
    <mergeCell ref="AE199:AF199"/>
    <mergeCell ref="Z188:AD189"/>
    <mergeCell ref="Z182:AD183"/>
    <mergeCell ref="H134:I134"/>
    <mergeCell ref="Z116:AD117"/>
    <mergeCell ref="AE116:AF117"/>
    <mergeCell ref="A118:I118"/>
    <mergeCell ref="Z118:AF120"/>
    <mergeCell ref="A119:I120"/>
    <mergeCell ref="AE122:AF123"/>
    <mergeCell ref="A124:I124"/>
    <mergeCell ref="Z124:AF126"/>
    <mergeCell ref="A125:I126"/>
    <mergeCell ref="J127:Y132"/>
    <mergeCell ref="Z130:AF132"/>
    <mergeCell ref="A250:I250"/>
    <mergeCell ref="A190:I190"/>
    <mergeCell ref="A196:I196"/>
    <mergeCell ref="A224:G225"/>
    <mergeCell ref="Z224:AD225"/>
    <mergeCell ref="AE224:AF225"/>
    <mergeCell ref="Z226:AF228"/>
    <mergeCell ref="A220:I220"/>
    <mergeCell ref="A226:I226"/>
    <mergeCell ref="AE253:AF253"/>
    <mergeCell ref="A217:G217"/>
    <mergeCell ref="H217:I217"/>
    <mergeCell ref="Z217:AD217"/>
    <mergeCell ref="AE217:AF217"/>
    <mergeCell ref="A218:G219"/>
    <mergeCell ref="Z218:AD219"/>
    <mergeCell ref="A194:G195"/>
    <mergeCell ref="Z205:AD205"/>
    <mergeCell ref="AE205:AF205"/>
    <mergeCell ref="H224:I224"/>
    <mergeCell ref="Z238:AF240"/>
    <mergeCell ref="A239:I240"/>
    <mergeCell ref="A241:G241"/>
    <mergeCell ref="H241:I241"/>
    <mergeCell ref="J241:Y246"/>
    <mergeCell ref="Z241:AD241"/>
    <mergeCell ref="J247:Y252"/>
    <mergeCell ref="H121:I121"/>
    <mergeCell ref="A323:I324"/>
    <mergeCell ref="Z316:AF318"/>
    <mergeCell ref="A317:I318"/>
    <mergeCell ref="A319:G319"/>
    <mergeCell ref="J319:Y324"/>
    <mergeCell ref="Z319:AD319"/>
    <mergeCell ref="AE319:AF319"/>
    <mergeCell ref="J313:Y318"/>
    <mergeCell ref="Z313:AD313"/>
    <mergeCell ref="AE313:AF313"/>
    <mergeCell ref="A277:G277"/>
    <mergeCell ref="H277:I277"/>
    <mergeCell ref="Z277:AD277"/>
    <mergeCell ref="AE277:AF277"/>
    <mergeCell ref="A278:G279"/>
    <mergeCell ref="Z278:AD279"/>
    <mergeCell ref="AE278:AF279"/>
    <mergeCell ref="H279:I279"/>
    <mergeCell ref="H278:I278"/>
    <mergeCell ref="A280:I280"/>
    <mergeCell ref="H315:I315"/>
    <mergeCell ref="H302:I302"/>
    <mergeCell ref="H307:I307"/>
    <mergeCell ref="Z307:AD307"/>
    <mergeCell ref="AE307:AF307"/>
    <mergeCell ref="Z308:AD309"/>
    <mergeCell ref="AE308:AF309"/>
    <mergeCell ref="H309:I309"/>
    <mergeCell ref="H303:I303"/>
    <mergeCell ref="A182:G183"/>
    <mergeCell ref="Z253:AD253"/>
    <mergeCell ref="J55:Y60"/>
    <mergeCell ref="Z55:AD55"/>
    <mergeCell ref="AE55:AF55"/>
    <mergeCell ref="AG55:AX60"/>
    <mergeCell ref="Z56:AD57"/>
    <mergeCell ref="AE56:AF57"/>
    <mergeCell ref="Z58:AF60"/>
    <mergeCell ref="J61:Y66"/>
    <mergeCell ref="Z61:AD61"/>
    <mergeCell ref="AE61:AF61"/>
    <mergeCell ref="H57:I57"/>
    <mergeCell ref="H62:I62"/>
    <mergeCell ref="H301:I301"/>
    <mergeCell ref="A313:G313"/>
    <mergeCell ref="Z314:AD315"/>
    <mergeCell ref="AE314:AF315"/>
    <mergeCell ref="A263:I264"/>
    <mergeCell ref="H272:I272"/>
    <mergeCell ref="H266:I266"/>
    <mergeCell ref="H254:I254"/>
    <mergeCell ref="H259:I259"/>
    <mergeCell ref="A256:I256"/>
    <mergeCell ref="AE212:AF213"/>
    <mergeCell ref="Z214:AF216"/>
    <mergeCell ref="J217:Y222"/>
    <mergeCell ref="H199:I199"/>
    <mergeCell ref="A187:G187"/>
    <mergeCell ref="H187:I187"/>
    <mergeCell ref="Z187:AD187"/>
    <mergeCell ref="AE187:AF187"/>
    <mergeCell ref="A55:G55"/>
    <mergeCell ref="H68:I68"/>
    <mergeCell ref="A71:I72"/>
    <mergeCell ref="H55:I55"/>
    <mergeCell ref="H81:I81"/>
    <mergeCell ref="A82:I82"/>
    <mergeCell ref="H63:I63"/>
    <mergeCell ref="H314:I314"/>
    <mergeCell ref="H319:I319"/>
    <mergeCell ref="H313:I313"/>
    <mergeCell ref="A316:I316"/>
    <mergeCell ref="AG31:AX36"/>
    <mergeCell ref="A32:G33"/>
    <mergeCell ref="Z32:AD33"/>
    <mergeCell ref="AE32:AF33"/>
    <mergeCell ref="H21:I21"/>
    <mergeCell ref="A25:G25"/>
    <mergeCell ref="H25:I25"/>
    <mergeCell ref="J25:Y30"/>
    <mergeCell ref="Z25:AD25"/>
    <mergeCell ref="AE25:AF25"/>
    <mergeCell ref="AG25:AX30"/>
    <mergeCell ref="A26:G27"/>
    <mergeCell ref="H26:I26"/>
    <mergeCell ref="A28:I28"/>
    <mergeCell ref="A29:I30"/>
    <mergeCell ref="A31:G31"/>
    <mergeCell ref="H31:I31"/>
    <mergeCell ref="A34:I34"/>
    <mergeCell ref="A35:I36"/>
    <mergeCell ref="Z301:AD301"/>
    <mergeCell ref="AE301:AF301"/>
    <mergeCell ref="A301:G301"/>
    <mergeCell ref="Z88:AF90"/>
    <mergeCell ref="Z80:AD81"/>
    <mergeCell ref="A175:G175"/>
    <mergeCell ref="H175:I175"/>
    <mergeCell ref="H171:I171"/>
    <mergeCell ref="A172:I172"/>
    <mergeCell ref="A130:I130"/>
    <mergeCell ref="A136:I136"/>
    <mergeCell ref="A79:G79"/>
    <mergeCell ref="A80:G81"/>
    <mergeCell ref="H80:I80"/>
    <mergeCell ref="A59:I60"/>
    <mergeCell ref="A56:G57"/>
    <mergeCell ref="A58:I58"/>
    <mergeCell ref="A61:G61"/>
    <mergeCell ref="H61:I61"/>
    <mergeCell ref="A70:I70"/>
    <mergeCell ref="A76:I76"/>
    <mergeCell ref="H56:I56"/>
    <mergeCell ref="A158:G159"/>
    <mergeCell ref="A67:G67"/>
    <mergeCell ref="H67:I67"/>
    <mergeCell ref="A116:G117"/>
    <mergeCell ref="H116:I116"/>
    <mergeCell ref="A115:G115"/>
    <mergeCell ref="A68:G69"/>
    <mergeCell ref="H69:I69"/>
    <mergeCell ref="A106:I106"/>
    <mergeCell ref="H103:I103"/>
    <mergeCell ref="H104:I104"/>
    <mergeCell ref="H79:I79"/>
    <mergeCell ref="H73:I73"/>
    <mergeCell ref="A85:G85"/>
    <mergeCell ref="AE73:AF73"/>
    <mergeCell ref="J97:Y102"/>
    <mergeCell ref="A176:G177"/>
    <mergeCell ref="H176:I176"/>
    <mergeCell ref="A151:G151"/>
    <mergeCell ref="H151:I151"/>
    <mergeCell ref="H177:I177"/>
    <mergeCell ref="A122:G123"/>
    <mergeCell ref="A188:G189"/>
    <mergeCell ref="A62:G63"/>
    <mergeCell ref="Z62:AD63"/>
    <mergeCell ref="AE62:AF63"/>
    <mergeCell ref="H105:I105"/>
    <mergeCell ref="J103:Y108"/>
    <mergeCell ref="Z103:AD103"/>
    <mergeCell ref="AE103:AF103"/>
    <mergeCell ref="AG103:AX108"/>
    <mergeCell ref="A104:G105"/>
    <mergeCell ref="Z104:AD105"/>
    <mergeCell ref="AE104:AF105"/>
    <mergeCell ref="Z106:AF108"/>
    <mergeCell ref="A107:I108"/>
    <mergeCell ref="A109:G109"/>
    <mergeCell ref="J109:Y114"/>
    <mergeCell ref="Z109:AD109"/>
    <mergeCell ref="AE109:AF109"/>
    <mergeCell ref="AE85:AF85"/>
    <mergeCell ref="AG85:AX90"/>
    <mergeCell ref="A86:G87"/>
    <mergeCell ref="Z86:AD87"/>
    <mergeCell ref="AE86:AF87"/>
    <mergeCell ref="A88:I88"/>
    <mergeCell ref="AG127:AX132"/>
    <mergeCell ref="AG91:AX96"/>
    <mergeCell ref="A94:I94"/>
    <mergeCell ref="Z94:AF96"/>
    <mergeCell ref="A95:I96"/>
    <mergeCell ref="J79:Y84"/>
    <mergeCell ref="A110:G111"/>
    <mergeCell ref="A103:G103"/>
    <mergeCell ref="H110:I110"/>
    <mergeCell ref="Z110:AD111"/>
    <mergeCell ref="AE110:AF111"/>
    <mergeCell ref="H111:I111"/>
    <mergeCell ref="A112:I112"/>
    <mergeCell ref="Z112:AF114"/>
    <mergeCell ref="A64:I64"/>
    <mergeCell ref="Z64:AF66"/>
    <mergeCell ref="A65:I66"/>
    <mergeCell ref="J67:Y72"/>
    <mergeCell ref="AG67:AX72"/>
    <mergeCell ref="AG61:AX66"/>
    <mergeCell ref="AG79:AX84"/>
    <mergeCell ref="Z67:AD67"/>
    <mergeCell ref="AE67:AF67"/>
    <mergeCell ref="Z68:AD69"/>
    <mergeCell ref="AE68:AF69"/>
    <mergeCell ref="Z91:AD91"/>
    <mergeCell ref="AE79:AF79"/>
    <mergeCell ref="Z70:AF72"/>
    <mergeCell ref="A73:G73"/>
    <mergeCell ref="J73:Y78"/>
    <mergeCell ref="Z73:AD73"/>
    <mergeCell ref="AG121:AX126"/>
    <mergeCell ref="AG145:AX150"/>
    <mergeCell ref="A146:G147"/>
    <mergeCell ref="H146:I146"/>
    <mergeCell ref="Z146:AD147"/>
    <mergeCell ref="AE146:AF147"/>
    <mergeCell ref="A148:I148"/>
    <mergeCell ref="Z148:AF150"/>
    <mergeCell ref="A149:I150"/>
    <mergeCell ref="AG73:AX78"/>
    <mergeCell ref="A74:G75"/>
    <mergeCell ref="Z74:AD75"/>
    <mergeCell ref="AE74:AF75"/>
    <mergeCell ref="H75:I75"/>
    <mergeCell ref="Z76:AF78"/>
    <mergeCell ref="A77:I78"/>
    <mergeCell ref="H74:I74"/>
    <mergeCell ref="J85:Y90"/>
    <mergeCell ref="Z85:AD85"/>
    <mergeCell ref="AG97:AX102"/>
    <mergeCell ref="Z100:AF102"/>
    <mergeCell ref="AE91:AF91"/>
    <mergeCell ref="A92:G93"/>
    <mergeCell ref="Z92:AD93"/>
    <mergeCell ref="AE92:AF93"/>
    <mergeCell ref="A101:I102"/>
    <mergeCell ref="H85:I85"/>
    <mergeCell ref="H86:I86"/>
    <mergeCell ref="A89:I90"/>
    <mergeCell ref="A91:G91"/>
    <mergeCell ref="H91:I91"/>
    <mergeCell ref="A133:G133"/>
    <mergeCell ref="A143:I144"/>
    <mergeCell ref="A152:G153"/>
    <mergeCell ref="Z152:AD153"/>
    <mergeCell ref="AE152:AF153"/>
    <mergeCell ref="A154:I154"/>
    <mergeCell ref="Z154:AF156"/>
    <mergeCell ref="A155:I156"/>
    <mergeCell ref="Z176:AD177"/>
    <mergeCell ref="AE176:AF177"/>
    <mergeCell ref="A185:I186"/>
    <mergeCell ref="J187:Y192"/>
    <mergeCell ref="AG187:AX192"/>
    <mergeCell ref="Z190:AF192"/>
    <mergeCell ref="A191:I192"/>
    <mergeCell ref="A193:G193"/>
    <mergeCell ref="A181:G181"/>
    <mergeCell ref="H181:I181"/>
    <mergeCell ref="J181:Y186"/>
    <mergeCell ref="Z181:AD181"/>
    <mergeCell ref="AE181:AF181"/>
    <mergeCell ref="AG181:AX186"/>
    <mergeCell ref="Z172:AF174"/>
    <mergeCell ref="AG259:AX264"/>
    <mergeCell ref="A262:I262"/>
    <mergeCell ref="H265:I265"/>
    <mergeCell ref="A257:I258"/>
    <mergeCell ref="Z194:AD195"/>
    <mergeCell ref="AE194:AF195"/>
    <mergeCell ref="H231:I231"/>
    <mergeCell ref="A214:I214"/>
    <mergeCell ref="H230:I230"/>
    <mergeCell ref="H211:I211"/>
    <mergeCell ref="A215:I216"/>
    <mergeCell ref="H225:I225"/>
    <mergeCell ref="A227:I228"/>
    <mergeCell ref="A211:G211"/>
    <mergeCell ref="J211:Y216"/>
    <mergeCell ref="Z211:AD211"/>
    <mergeCell ref="AE211:AF211"/>
    <mergeCell ref="AG211:AX216"/>
    <mergeCell ref="A212:G213"/>
    <mergeCell ref="Z212:AD213"/>
    <mergeCell ref="AG217:AX222"/>
    <mergeCell ref="Z220:AF222"/>
    <mergeCell ref="A221:I222"/>
    <mergeCell ref="A223:G223"/>
    <mergeCell ref="J223:Y228"/>
    <mergeCell ref="Z223:AD223"/>
    <mergeCell ref="AE223:AF223"/>
    <mergeCell ref="AG223:AX228"/>
    <mergeCell ref="AE218:AF219"/>
    <mergeCell ref="H219:I219"/>
    <mergeCell ref="A205:G205"/>
    <mergeCell ref="J205:Y210"/>
    <mergeCell ref="AG247:AX252"/>
    <mergeCell ref="Z250:AF252"/>
    <mergeCell ref="A251:I252"/>
    <mergeCell ref="AG253:AX258"/>
    <mergeCell ref="A254:G255"/>
    <mergeCell ref="Z254:AD255"/>
    <mergeCell ref="AE254:AF255"/>
    <mergeCell ref="H255:I255"/>
    <mergeCell ref="Z256:AF258"/>
    <mergeCell ref="AG229:AX234"/>
    <mergeCell ref="A230:G231"/>
    <mergeCell ref="Z247:AD247"/>
    <mergeCell ref="AE247:AF247"/>
    <mergeCell ref="Z248:AD249"/>
    <mergeCell ref="AE248:AF249"/>
    <mergeCell ref="AG271:AX276"/>
    <mergeCell ref="A272:G273"/>
    <mergeCell ref="Z272:AD273"/>
    <mergeCell ref="AE272:AF273"/>
    <mergeCell ref="A274:I274"/>
    <mergeCell ref="Z274:AF276"/>
    <mergeCell ref="A275:I276"/>
    <mergeCell ref="A253:G253"/>
    <mergeCell ref="J253:Y258"/>
    <mergeCell ref="Z262:AF264"/>
    <mergeCell ref="J259:Y264"/>
    <mergeCell ref="A259:G259"/>
    <mergeCell ref="Z259:AD259"/>
    <mergeCell ref="AE259:AF259"/>
    <mergeCell ref="A260:G261"/>
    <mergeCell ref="H260:I260"/>
    <mergeCell ref="Z260:AD261"/>
    <mergeCell ref="AG343:AX348"/>
    <mergeCell ref="Z346:AF348"/>
    <mergeCell ref="A347:I348"/>
    <mergeCell ref="H284:I284"/>
    <mergeCell ref="AG283:AX288"/>
    <mergeCell ref="A284:G285"/>
    <mergeCell ref="Z284:AD285"/>
    <mergeCell ref="H273:I273"/>
    <mergeCell ref="J265:Y270"/>
    <mergeCell ref="Z265:AD265"/>
    <mergeCell ref="AE265:AF265"/>
    <mergeCell ref="AG265:AX270"/>
    <mergeCell ref="A266:G267"/>
    <mergeCell ref="Z266:AD267"/>
    <mergeCell ref="AE266:AF267"/>
    <mergeCell ref="A268:I268"/>
    <mergeCell ref="Z268:AF270"/>
    <mergeCell ref="J277:Y282"/>
    <mergeCell ref="AG277:AX282"/>
    <mergeCell ref="Z280:AF282"/>
    <mergeCell ref="A281:I282"/>
    <mergeCell ref="H267:I267"/>
    <mergeCell ref="A265:G265"/>
    <mergeCell ref="H327:I327"/>
    <mergeCell ref="AG379:AX384"/>
    <mergeCell ref="A380:G381"/>
    <mergeCell ref="Z380:AD381"/>
    <mergeCell ref="AE380:AF381"/>
    <mergeCell ref="H387:I387"/>
    <mergeCell ref="AG325:AX330"/>
    <mergeCell ref="A326:G327"/>
    <mergeCell ref="H326:I326"/>
    <mergeCell ref="H350:I350"/>
    <mergeCell ref="H351:I351"/>
    <mergeCell ref="J349:Y354"/>
    <mergeCell ref="Z349:AD349"/>
    <mergeCell ref="AE349:AF349"/>
    <mergeCell ref="A341:I342"/>
    <mergeCell ref="A343:G343"/>
    <mergeCell ref="Z343:AD343"/>
    <mergeCell ref="AE343:AF343"/>
    <mergeCell ref="A344:G345"/>
    <mergeCell ref="Z344:AD345"/>
    <mergeCell ref="AE344:AF345"/>
    <mergeCell ref="H345:I345"/>
    <mergeCell ref="A349:G349"/>
    <mergeCell ref="AG349:AX354"/>
    <mergeCell ref="A350:G351"/>
    <mergeCell ref="Z350:AD351"/>
    <mergeCell ref="AE350:AF351"/>
    <mergeCell ref="A352:I352"/>
    <mergeCell ref="Z352:AF354"/>
    <mergeCell ref="H344:I344"/>
    <mergeCell ref="H349:I349"/>
    <mergeCell ref="H343:I343"/>
    <mergeCell ref="A346:I346"/>
    <mergeCell ref="A325:G325"/>
    <mergeCell ref="H325:I325"/>
    <mergeCell ref="J325:Y330"/>
    <mergeCell ref="Z325:AD325"/>
    <mergeCell ref="AE325:AF325"/>
    <mergeCell ref="A385:G385"/>
    <mergeCell ref="H385:I385"/>
    <mergeCell ref="Z385:AD385"/>
    <mergeCell ref="AE385:AF385"/>
    <mergeCell ref="A386:G387"/>
    <mergeCell ref="H386:I386"/>
    <mergeCell ref="Z386:AD387"/>
    <mergeCell ref="AE386:AF387"/>
    <mergeCell ref="H380:I380"/>
    <mergeCell ref="A383:I384"/>
    <mergeCell ref="A379:G379"/>
    <mergeCell ref="J379:Y384"/>
    <mergeCell ref="Z379:AD379"/>
    <mergeCell ref="AE379:AF379"/>
    <mergeCell ref="J343:Y348"/>
    <mergeCell ref="AG7:AX12"/>
    <mergeCell ref="A13:G13"/>
    <mergeCell ref="H13:I13"/>
    <mergeCell ref="Z13:AD13"/>
    <mergeCell ref="AE13:AF13"/>
    <mergeCell ref="AG13:AX18"/>
    <mergeCell ref="A14:G15"/>
    <mergeCell ref="Z14:AD15"/>
    <mergeCell ref="AE14:AF15"/>
    <mergeCell ref="A16:I16"/>
    <mergeCell ref="Z16:AF18"/>
    <mergeCell ref="A19:G19"/>
    <mergeCell ref="H19:I19"/>
    <mergeCell ref="J19:Y24"/>
    <mergeCell ref="Z19:AD19"/>
    <mergeCell ref="AE19:AF19"/>
    <mergeCell ref="AG19:AX24"/>
    <mergeCell ref="A20:G21"/>
    <mergeCell ref="H20:I20"/>
    <mergeCell ref="Z20:AD21"/>
    <mergeCell ref="AE20:AF21"/>
    <mergeCell ref="A22:I22"/>
    <mergeCell ref="Z22:AF24"/>
    <mergeCell ref="A10:I10"/>
    <mergeCell ref="A17:I18"/>
    <mergeCell ref="A11:I12"/>
    <mergeCell ref="H14:I14"/>
    <mergeCell ref="H15:I15"/>
    <mergeCell ref="J13:Y18"/>
    <mergeCell ref="Z10:AF12"/>
    <mergeCell ref="H8:I8"/>
    <mergeCell ref="AE7:AF7"/>
    <mergeCell ref="AG37:AX42"/>
    <mergeCell ref="Z40:AF42"/>
    <mergeCell ref="A41:I42"/>
    <mergeCell ref="A43:G43"/>
    <mergeCell ref="J43:Y48"/>
    <mergeCell ref="Z43:AD43"/>
    <mergeCell ref="AE43:AF43"/>
    <mergeCell ref="AG43:AX48"/>
    <mergeCell ref="A44:G45"/>
    <mergeCell ref="Z44:AD45"/>
    <mergeCell ref="AE44:AF45"/>
    <mergeCell ref="H45:I45"/>
    <mergeCell ref="Z46:AF48"/>
    <mergeCell ref="J49:Y54"/>
    <mergeCell ref="AG49:AX54"/>
    <mergeCell ref="A52:I52"/>
    <mergeCell ref="Z52:AF54"/>
    <mergeCell ref="A47:I48"/>
    <mergeCell ref="A49:G49"/>
    <mergeCell ref="Z49:AD49"/>
    <mergeCell ref="AE49:AF49"/>
    <mergeCell ref="A50:G51"/>
    <mergeCell ref="H50:I50"/>
    <mergeCell ref="Z50:AD51"/>
    <mergeCell ref="AE50:AF51"/>
    <mergeCell ref="H51:I51"/>
    <mergeCell ref="H44:I44"/>
    <mergeCell ref="H49:I49"/>
    <mergeCell ref="H43:I43"/>
    <mergeCell ref="A53:I54"/>
    <mergeCell ref="A40:I40"/>
    <mergeCell ref="A46:I46"/>
    <mergeCell ref="A131:I132"/>
    <mergeCell ref="A121:G121"/>
    <mergeCell ref="J121:Y126"/>
    <mergeCell ref="Z121:AD121"/>
    <mergeCell ref="AE121:AF121"/>
    <mergeCell ref="Z122:AD123"/>
    <mergeCell ref="H128:I128"/>
    <mergeCell ref="H123:I123"/>
    <mergeCell ref="H133:I133"/>
    <mergeCell ref="J157:Y162"/>
    <mergeCell ref="AG157:AX162"/>
    <mergeCell ref="Z160:AF162"/>
    <mergeCell ref="A161:I162"/>
    <mergeCell ref="A163:G163"/>
    <mergeCell ref="J163:Y168"/>
    <mergeCell ref="Z163:AD163"/>
    <mergeCell ref="AE163:AF163"/>
    <mergeCell ref="AG163:AX168"/>
    <mergeCell ref="A164:G165"/>
    <mergeCell ref="Z164:AD165"/>
    <mergeCell ref="AE164:AF165"/>
    <mergeCell ref="H165:I165"/>
    <mergeCell ref="Z166:AF168"/>
    <mergeCell ref="A167:I168"/>
    <mergeCell ref="AG133:AX138"/>
    <mergeCell ref="Z136:AF138"/>
    <mergeCell ref="A137:I138"/>
    <mergeCell ref="A139:G139"/>
    <mergeCell ref="J139:Y144"/>
    <mergeCell ref="Z139:AD139"/>
    <mergeCell ref="AE139:AF139"/>
    <mergeCell ref="AG139:AX144"/>
    <mergeCell ref="A140:G141"/>
    <mergeCell ref="Z140:AD141"/>
    <mergeCell ref="AE140:AF141"/>
    <mergeCell ref="A142:I142"/>
    <mergeCell ref="Z142:AF144"/>
    <mergeCell ref="Z133:AD133"/>
    <mergeCell ref="AE133:AF133"/>
    <mergeCell ref="H141:I141"/>
    <mergeCell ref="J175:Y180"/>
    <mergeCell ref="AG175:AX180"/>
    <mergeCell ref="A178:I178"/>
    <mergeCell ref="Z178:AF180"/>
    <mergeCell ref="A179:I180"/>
    <mergeCell ref="AG169:AX174"/>
    <mergeCell ref="A170:G171"/>
    <mergeCell ref="Z170:AD171"/>
    <mergeCell ref="AE170:AF171"/>
    <mergeCell ref="A160:I160"/>
    <mergeCell ref="Z175:AD175"/>
    <mergeCell ref="AE175:AF175"/>
    <mergeCell ref="A157:G157"/>
    <mergeCell ref="H157:I157"/>
    <mergeCell ref="Z157:AD157"/>
    <mergeCell ref="AE157:AF157"/>
    <mergeCell ref="J151:Y156"/>
    <mergeCell ref="Z151:AD151"/>
    <mergeCell ref="A145:G145"/>
    <mergeCell ref="H145:I145"/>
    <mergeCell ref="H152:I152"/>
    <mergeCell ref="AE151:AF151"/>
    <mergeCell ref="H147:I147"/>
    <mergeCell ref="AG151:AX156"/>
    <mergeCell ref="AE182:AF183"/>
    <mergeCell ref="A184:I184"/>
    <mergeCell ref="Z184:AF186"/>
    <mergeCell ref="J193:Y198"/>
    <mergeCell ref="Z193:AD193"/>
    <mergeCell ref="AE193:AF193"/>
    <mergeCell ref="AG193:AX198"/>
    <mergeCell ref="H206:I206"/>
    <mergeCell ref="Z206:AD207"/>
    <mergeCell ref="AE206:AF207"/>
    <mergeCell ref="AG205:AX210"/>
    <mergeCell ref="A206:G207"/>
    <mergeCell ref="AG199:AX204"/>
    <mergeCell ref="A208:I208"/>
    <mergeCell ref="Z208:AF210"/>
    <mergeCell ref="A209:I210"/>
    <mergeCell ref="H205:I205"/>
    <mergeCell ref="A238:I238"/>
    <mergeCell ref="A229:G229"/>
    <mergeCell ref="J229:Y234"/>
    <mergeCell ref="Z229:AD229"/>
    <mergeCell ref="AE229:AF229"/>
    <mergeCell ref="Z230:AD231"/>
    <mergeCell ref="AE230:AF231"/>
    <mergeCell ref="A232:I232"/>
    <mergeCell ref="Z232:AF234"/>
    <mergeCell ref="A200:G201"/>
    <mergeCell ref="H200:I200"/>
    <mergeCell ref="Z200:AD201"/>
    <mergeCell ref="AE200:AF201"/>
    <mergeCell ref="H201:I201"/>
    <mergeCell ref="A202:I202"/>
    <mergeCell ref="Z202:AF204"/>
    <mergeCell ref="A203:I204"/>
    <mergeCell ref="A235:G235"/>
    <mergeCell ref="H235:I235"/>
    <mergeCell ref="J235:Y240"/>
    <mergeCell ref="Z235:AD235"/>
    <mergeCell ref="Z326:AD327"/>
    <mergeCell ref="AE326:AF327"/>
    <mergeCell ref="A328:I328"/>
    <mergeCell ref="Z328:AF330"/>
    <mergeCell ref="A329:I330"/>
    <mergeCell ref="H283:I283"/>
    <mergeCell ref="A286:I286"/>
    <mergeCell ref="AE283:AF283"/>
    <mergeCell ref="AE295:AF295"/>
    <mergeCell ref="A283:G283"/>
    <mergeCell ref="J283:Y288"/>
    <mergeCell ref="Z283:AD283"/>
    <mergeCell ref="A269:I270"/>
    <mergeCell ref="A271:G271"/>
    <mergeCell ref="H271:I271"/>
    <mergeCell ref="J271:Y276"/>
    <mergeCell ref="Z271:AD271"/>
    <mergeCell ref="AE271:AF271"/>
    <mergeCell ref="H308:I308"/>
    <mergeCell ref="A308:G309"/>
    <mergeCell ref="A310:I310"/>
    <mergeCell ref="Z310:AF312"/>
    <mergeCell ref="A302:G303"/>
    <mergeCell ref="Z302:AD303"/>
    <mergeCell ref="AE302:AF303"/>
    <mergeCell ref="A311:I312"/>
    <mergeCell ref="AE284:AF285"/>
    <mergeCell ref="H285:I285"/>
    <mergeCell ref="Z286:AF288"/>
    <mergeCell ref="A287:I288"/>
    <mergeCell ref="A295:G295"/>
    <mergeCell ref="J295:Y300"/>
    <mergeCell ref="AE260:AF261"/>
    <mergeCell ref="H261:I261"/>
    <mergeCell ref="AG295:AX300"/>
    <mergeCell ref="A296:G297"/>
    <mergeCell ref="Z296:AD297"/>
    <mergeCell ref="AE296:AF297"/>
    <mergeCell ref="A298:I298"/>
    <mergeCell ref="Z298:AF300"/>
    <mergeCell ref="J301:Y306"/>
    <mergeCell ref="AG301:AX306"/>
    <mergeCell ref="A304:I304"/>
    <mergeCell ref="Z304:AF306"/>
    <mergeCell ref="A305:I306"/>
    <mergeCell ref="A307:G307"/>
    <mergeCell ref="J307:Y312"/>
    <mergeCell ref="AG307:AX312"/>
    <mergeCell ref="H218:I218"/>
    <mergeCell ref="H223:I223"/>
    <mergeCell ref="AE241:AF241"/>
    <mergeCell ref="AG241:AX246"/>
    <mergeCell ref="A242:G243"/>
    <mergeCell ref="Z242:AD243"/>
    <mergeCell ref="AE242:AF243"/>
    <mergeCell ref="A244:I244"/>
    <mergeCell ref="Z244:AF246"/>
    <mergeCell ref="A245:I246"/>
    <mergeCell ref="AE235:AF235"/>
    <mergeCell ref="AG235:AX240"/>
    <mergeCell ref="A236:G237"/>
    <mergeCell ref="H236:I236"/>
    <mergeCell ref="Z236:AD237"/>
    <mergeCell ref="AE236:AF237"/>
    <mergeCell ref="AG313:AX318"/>
    <mergeCell ref="A314:G315"/>
    <mergeCell ref="Z289:AD289"/>
    <mergeCell ref="AE289:AF289"/>
    <mergeCell ref="A290:G291"/>
    <mergeCell ref="H290:I290"/>
    <mergeCell ref="Z290:AD291"/>
    <mergeCell ref="AE290:AF291"/>
    <mergeCell ref="H291:I291"/>
    <mergeCell ref="A292:I292"/>
    <mergeCell ref="Z292:AF294"/>
    <mergeCell ref="H289:I289"/>
    <mergeCell ref="H295:I295"/>
    <mergeCell ref="H296:I296"/>
    <mergeCell ref="A299:I300"/>
    <mergeCell ref="A293:I294"/>
    <mergeCell ref="AG319:AX324"/>
    <mergeCell ref="A320:G321"/>
    <mergeCell ref="H320:I320"/>
    <mergeCell ref="Z320:AD321"/>
    <mergeCell ref="AE320:AF321"/>
    <mergeCell ref="H321:I321"/>
    <mergeCell ref="A322:I322"/>
    <mergeCell ref="H297:I297"/>
    <mergeCell ref="A289:G289"/>
    <mergeCell ref="J289:Y294"/>
    <mergeCell ref="AG289:AX294"/>
    <mergeCell ref="Z295:AD295"/>
    <mergeCell ref="Z322:AF324"/>
    <mergeCell ref="AG331:AX336"/>
    <mergeCell ref="A332:G333"/>
    <mergeCell ref="Z332:AD333"/>
    <mergeCell ref="AE332:AF333"/>
    <mergeCell ref="A334:I334"/>
    <mergeCell ref="Z334:AF336"/>
    <mergeCell ref="A335:I336"/>
    <mergeCell ref="J337:Y342"/>
    <mergeCell ref="AG337:AX342"/>
    <mergeCell ref="Z340:AF342"/>
    <mergeCell ref="H331:I331"/>
    <mergeCell ref="Z337:AD337"/>
    <mergeCell ref="AE337:AF337"/>
    <mergeCell ref="Z338:AD339"/>
    <mergeCell ref="AE338:AF339"/>
    <mergeCell ref="A338:G339"/>
    <mergeCell ref="H339:I339"/>
    <mergeCell ref="H333:I333"/>
    <mergeCell ref="H338:I338"/>
    <mergeCell ref="A340:I340"/>
    <mergeCell ref="A331:G331"/>
    <mergeCell ref="J331:Y336"/>
    <mergeCell ref="Z331:AD331"/>
    <mergeCell ref="AE331:AF331"/>
    <mergeCell ref="H332:I332"/>
    <mergeCell ref="A337:G337"/>
    <mergeCell ref="H337:I337"/>
    <mergeCell ref="A377:I378"/>
    <mergeCell ref="AG355:AX360"/>
    <mergeCell ref="A356:G357"/>
    <mergeCell ref="H356:I356"/>
    <mergeCell ref="Z356:AD357"/>
    <mergeCell ref="AE356:AF357"/>
    <mergeCell ref="A358:I358"/>
    <mergeCell ref="Z358:AF360"/>
    <mergeCell ref="A359:I360"/>
    <mergeCell ref="A361:G361"/>
    <mergeCell ref="H361:I361"/>
    <mergeCell ref="J361:Y366"/>
    <mergeCell ref="Z361:AD361"/>
    <mergeCell ref="AE361:AF361"/>
    <mergeCell ref="AG361:AX366"/>
    <mergeCell ref="A362:G363"/>
    <mergeCell ref="Z362:AD363"/>
    <mergeCell ref="AE362:AF363"/>
    <mergeCell ref="A364:I364"/>
    <mergeCell ref="Z364:AF366"/>
    <mergeCell ref="A365:I366"/>
    <mergeCell ref="J355:Y360"/>
    <mergeCell ref="Z355:AD355"/>
    <mergeCell ref="AE355:AF355"/>
    <mergeCell ref="A376:I376"/>
    <mergeCell ref="H374:I374"/>
    <mergeCell ref="H373:I373"/>
    <mergeCell ref="H357:I357"/>
    <mergeCell ref="A355:G355"/>
    <mergeCell ref="H355:I355"/>
    <mergeCell ref="AE367:AF367"/>
    <mergeCell ref="AG1:AX6"/>
    <mergeCell ref="H381:I381"/>
    <mergeCell ref="A382:I382"/>
    <mergeCell ref="Z382:AF384"/>
    <mergeCell ref="J385:Y390"/>
    <mergeCell ref="AG385:AX390"/>
    <mergeCell ref="A388:I388"/>
    <mergeCell ref="Z388:AF390"/>
    <mergeCell ref="A389:I390"/>
    <mergeCell ref="A367:G367"/>
    <mergeCell ref="H367:I367"/>
    <mergeCell ref="J367:Y372"/>
    <mergeCell ref="Z367:AD367"/>
    <mergeCell ref="AG367:AX372"/>
    <mergeCell ref="A368:G369"/>
    <mergeCell ref="H368:I368"/>
    <mergeCell ref="Z368:AD369"/>
    <mergeCell ref="AE368:AF369"/>
    <mergeCell ref="H369:I369"/>
    <mergeCell ref="A370:I370"/>
    <mergeCell ref="Z370:AF372"/>
    <mergeCell ref="A371:I372"/>
    <mergeCell ref="A373:G373"/>
    <mergeCell ref="J373:Y378"/>
    <mergeCell ref="Z373:AD373"/>
    <mergeCell ref="AE373:AF373"/>
    <mergeCell ref="AG373:AX378"/>
    <mergeCell ref="A374:G375"/>
    <mergeCell ref="Z374:AD375"/>
    <mergeCell ref="AE374:AF375"/>
    <mergeCell ref="H375:I375"/>
    <mergeCell ref="Z376:AF378"/>
    <mergeCell ref="Z391:AD391"/>
    <mergeCell ref="AE391:AF391"/>
    <mergeCell ref="AG391:AX396"/>
    <mergeCell ref="Z392:AD393"/>
    <mergeCell ref="AE392:AF393"/>
    <mergeCell ref="Z394:AF396"/>
    <mergeCell ref="Z397:AD397"/>
    <mergeCell ref="AE397:AF397"/>
    <mergeCell ref="AG397:AX402"/>
    <mergeCell ref="Z398:AD399"/>
    <mergeCell ref="AE398:AF399"/>
    <mergeCell ref="Z400:AF402"/>
    <mergeCell ref="Z403:AD403"/>
    <mergeCell ref="AE403:AF403"/>
    <mergeCell ref="AG403:AX408"/>
    <mergeCell ref="Z404:AD405"/>
    <mergeCell ref="AE404:AF405"/>
    <mergeCell ref="Z406:AF408"/>
    <mergeCell ref="Z409:AD409"/>
    <mergeCell ref="AE409:AF409"/>
    <mergeCell ref="AG409:AX414"/>
    <mergeCell ref="Z410:AD411"/>
    <mergeCell ref="AE410:AF411"/>
    <mergeCell ref="Z412:AF414"/>
    <mergeCell ref="Z415:AD415"/>
    <mergeCell ref="AE415:AF415"/>
    <mergeCell ref="AG415:AX420"/>
    <mergeCell ref="Z416:AD417"/>
    <mergeCell ref="AE416:AF417"/>
    <mergeCell ref="Z418:AF420"/>
    <mergeCell ref="Z421:AD421"/>
    <mergeCell ref="AE421:AF421"/>
    <mergeCell ref="AG421:AX426"/>
    <mergeCell ref="Z422:AD423"/>
    <mergeCell ref="AE422:AF423"/>
    <mergeCell ref="Z424:AF426"/>
    <mergeCell ref="Z427:AD427"/>
    <mergeCell ref="AE427:AF427"/>
    <mergeCell ref="AG427:AX432"/>
    <mergeCell ref="Z428:AD429"/>
    <mergeCell ref="AE428:AF429"/>
    <mergeCell ref="Z430:AF432"/>
    <mergeCell ref="Z433:AD433"/>
    <mergeCell ref="AE433:AF433"/>
    <mergeCell ref="AG433:AX438"/>
    <mergeCell ref="Z434:AD435"/>
    <mergeCell ref="AE434:AF435"/>
    <mergeCell ref="Z436:AF438"/>
    <mergeCell ref="Z439:AD439"/>
    <mergeCell ref="AE439:AF439"/>
    <mergeCell ref="AG439:AX444"/>
    <mergeCell ref="Z440:AD441"/>
    <mergeCell ref="AE440:AF441"/>
    <mergeCell ref="Z442:AF444"/>
    <mergeCell ref="Z445:AD445"/>
    <mergeCell ref="AE445:AF445"/>
    <mergeCell ref="AG445:AX450"/>
    <mergeCell ref="Z446:AD447"/>
    <mergeCell ref="AE446:AF447"/>
    <mergeCell ref="Z448:AF450"/>
    <mergeCell ref="Z451:AD451"/>
    <mergeCell ref="AE451:AF451"/>
    <mergeCell ref="AG451:AX456"/>
    <mergeCell ref="Z452:AD453"/>
    <mergeCell ref="AE452:AF453"/>
    <mergeCell ref="Z454:AF456"/>
    <mergeCell ref="Z457:AD457"/>
    <mergeCell ref="AE457:AF457"/>
    <mergeCell ref="AG457:AX462"/>
    <mergeCell ref="Z458:AD459"/>
    <mergeCell ref="AE458:AF459"/>
    <mergeCell ref="Z460:AF462"/>
    <mergeCell ref="Z463:AD463"/>
    <mergeCell ref="AE463:AF463"/>
    <mergeCell ref="AG463:AX468"/>
    <mergeCell ref="Z464:AD465"/>
    <mergeCell ref="AE464:AF465"/>
    <mergeCell ref="Z466:AF468"/>
    <mergeCell ref="Z469:AD469"/>
    <mergeCell ref="AE469:AF469"/>
    <mergeCell ref="AG469:AX474"/>
    <mergeCell ref="Z470:AD471"/>
    <mergeCell ref="AE470:AF471"/>
    <mergeCell ref="Z472:AF474"/>
    <mergeCell ref="Z475:AD475"/>
    <mergeCell ref="AE475:AF475"/>
    <mergeCell ref="AG475:AX480"/>
    <mergeCell ref="Z476:AD477"/>
    <mergeCell ref="AE476:AF477"/>
    <mergeCell ref="Z478:AF480"/>
    <mergeCell ref="Z481:AD481"/>
    <mergeCell ref="AE481:AF481"/>
    <mergeCell ref="AG481:AX486"/>
    <mergeCell ref="Z482:AD483"/>
    <mergeCell ref="AE482:AF483"/>
    <mergeCell ref="Z484:AF486"/>
    <mergeCell ref="Z487:AD487"/>
    <mergeCell ref="AE487:AF487"/>
    <mergeCell ref="AG487:AX492"/>
    <mergeCell ref="Z488:AD489"/>
    <mergeCell ref="AE488:AF489"/>
    <mergeCell ref="Z490:AF492"/>
    <mergeCell ref="Z493:AD493"/>
    <mergeCell ref="AE493:AF493"/>
    <mergeCell ref="AG493:AX498"/>
    <mergeCell ref="Z494:AD495"/>
    <mergeCell ref="AE494:AF495"/>
    <mergeCell ref="Z496:AF498"/>
    <mergeCell ref="Z499:AD499"/>
    <mergeCell ref="AE499:AF499"/>
    <mergeCell ref="AG499:AX504"/>
    <mergeCell ref="Z500:AD501"/>
    <mergeCell ref="AE500:AF501"/>
    <mergeCell ref="Z502:AF504"/>
    <mergeCell ref="Z505:AD505"/>
    <mergeCell ref="AE505:AF505"/>
    <mergeCell ref="AG505:AX510"/>
    <mergeCell ref="Z506:AD507"/>
    <mergeCell ref="AE506:AF507"/>
    <mergeCell ref="Z508:AF510"/>
    <mergeCell ref="Z511:AD511"/>
    <mergeCell ref="AE511:AF511"/>
    <mergeCell ref="AG511:AX516"/>
    <mergeCell ref="Z512:AD513"/>
    <mergeCell ref="AE512:AF513"/>
    <mergeCell ref="Z514:AF516"/>
    <mergeCell ref="Z517:AD517"/>
    <mergeCell ref="AE517:AF517"/>
    <mergeCell ref="AG517:AX522"/>
    <mergeCell ref="Z518:AD519"/>
    <mergeCell ref="AE518:AF519"/>
    <mergeCell ref="Z520:AF522"/>
    <mergeCell ref="Z523:AD523"/>
    <mergeCell ref="AE523:AF523"/>
    <mergeCell ref="AG523:AX528"/>
    <mergeCell ref="Z524:AD525"/>
    <mergeCell ref="AE524:AF525"/>
    <mergeCell ref="Z526:AF528"/>
    <mergeCell ref="Z529:AD529"/>
    <mergeCell ref="AE529:AF529"/>
    <mergeCell ref="AG529:AX534"/>
    <mergeCell ref="Z530:AD531"/>
    <mergeCell ref="AE530:AF531"/>
    <mergeCell ref="Z532:AF534"/>
    <mergeCell ref="Z535:AD535"/>
    <mergeCell ref="AE535:AF535"/>
    <mergeCell ref="AG535:AX540"/>
    <mergeCell ref="Z536:AD537"/>
    <mergeCell ref="AE536:AF537"/>
    <mergeCell ref="Z538:AF540"/>
    <mergeCell ref="Z541:AD541"/>
    <mergeCell ref="AE541:AF541"/>
    <mergeCell ref="AG541:AX546"/>
    <mergeCell ref="Z542:AD543"/>
    <mergeCell ref="AE542:AF543"/>
    <mergeCell ref="Z544:AF546"/>
    <mergeCell ref="Z547:AD547"/>
    <mergeCell ref="AE547:AF547"/>
    <mergeCell ref="AG547:AX552"/>
    <mergeCell ref="Z548:AD549"/>
    <mergeCell ref="AE548:AF549"/>
    <mergeCell ref="Z550:AF552"/>
    <mergeCell ref="AE584:AF585"/>
    <mergeCell ref="Z586:AF588"/>
    <mergeCell ref="Z553:AD553"/>
    <mergeCell ref="AE553:AF553"/>
    <mergeCell ref="AG553:AX558"/>
    <mergeCell ref="Z554:AD555"/>
    <mergeCell ref="AE554:AF555"/>
    <mergeCell ref="Z556:AF558"/>
    <mergeCell ref="Z559:AD559"/>
    <mergeCell ref="AE559:AF559"/>
    <mergeCell ref="AG559:AX564"/>
    <mergeCell ref="Z560:AD561"/>
    <mergeCell ref="AE560:AF561"/>
    <mergeCell ref="Z562:AF564"/>
    <mergeCell ref="Z565:AD565"/>
    <mergeCell ref="AE565:AF565"/>
    <mergeCell ref="AG565:AX570"/>
    <mergeCell ref="Z566:AD567"/>
    <mergeCell ref="AE566:AF567"/>
    <mergeCell ref="Z568:AF570"/>
    <mergeCell ref="AG589:AX594"/>
    <mergeCell ref="Z590:AD591"/>
    <mergeCell ref="AE590:AF591"/>
    <mergeCell ref="Z592:AF594"/>
    <mergeCell ref="Z595:AD595"/>
    <mergeCell ref="AE595:AF595"/>
    <mergeCell ref="AG595:AX600"/>
    <mergeCell ref="Z596:AD597"/>
    <mergeCell ref="AE596:AF597"/>
    <mergeCell ref="Z598:AF600"/>
    <mergeCell ref="Z601:AD601"/>
    <mergeCell ref="AE601:AF601"/>
    <mergeCell ref="AG601:AX606"/>
    <mergeCell ref="Z602:AD603"/>
    <mergeCell ref="AE602:AF603"/>
    <mergeCell ref="Z604:AF606"/>
    <mergeCell ref="Z571:AD571"/>
    <mergeCell ref="AE571:AF571"/>
    <mergeCell ref="AG571:AX576"/>
    <mergeCell ref="Z572:AD573"/>
    <mergeCell ref="AE572:AF573"/>
    <mergeCell ref="Z574:AF576"/>
    <mergeCell ref="Z577:AD577"/>
    <mergeCell ref="AE577:AF577"/>
    <mergeCell ref="AG577:AX582"/>
    <mergeCell ref="Z578:AD579"/>
    <mergeCell ref="AE578:AF579"/>
    <mergeCell ref="Z580:AF582"/>
    <mergeCell ref="Z583:AD583"/>
    <mergeCell ref="AE583:AF583"/>
    <mergeCell ref="AG583:AX588"/>
    <mergeCell ref="Z584:AD585"/>
    <mergeCell ref="A391:G391"/>
    <mergeCell ref="H391:I391"/>
    <mergeCell ref="J391:Y396"/>
    <mergeCell ref="A392:G393"/>
    <mergeCell ref="H392:I392"/>
    <mergeCell ref="H393:I393"/>
    <mergeCell ref="A394:I394"/>
    <mergeCell ref="A395:I396"/>
    <mergeCell ref="A397:G397"/>
    <mergeCell ref="H397:I397"/>
    <mergeCell ref="J397:Y402"/>
    <mergeCell ref="A398:G399"/>
    <mergeCell ref="H398:I398"/>
    <mergeCell ref="H399:I399"/>
    <mergeCell ref="A400:I400"/>
    <mergeCell ref="A401:I402"/>
    <mergeCell ref="A403:G403"/>
    <mergeCell ref="H403:I403"/>
    <mergeCell ref="J403:Y408"/>
    <mergeCell ref="A404:G405"/>
    <mergeCell ref="H404:I404"/>
    <mergeCell ref="H405:I405"/>
    <mergeCell ref="A406:I406"/>
    <mergeCell ref="A407:I408"/>
    <mergeCell ref="A409:G409"/>
    <mergeCell ref="H409:I409"/>
    <mergeCell ref="J409:Y414"/>
    <mergeCell ref="A410:G411"/>
    <mergeCell ref="H410:I410"/>
    <mergeCell ref="H411:I411"/>
    <mergeCell ref="A412:I412"/>
    <mergeCell ref="A413:I414"/>
    <mergeCell ref="A415:G415"/>
    <mergeCell ref="H415:I415"/>
    <mergeCell ref="J415:Y420"/>
    <mergeCell ref="A416:G417"/>
    <mergeCell ref="H416:I416"/>
    <mergeCell ref="H417:I417"/>
    <mergeCell ref="A418:I418"/>
    <mergeCell ref="A419:I420"/>
    <mergeCell ref="A421:G421"/>
    <mergeCell ref="H421:I421"/>
    <mergeCell ref="J421:Y426"/>
    <mergeCell ref="A422:G423"/>
    <mergeCell ref="H422:I422"/>
    <mergeCell ref="H423:I423"/>
    <mergeCell ref="A424:I424"/>
    <mergeCell ref="A425:I426"/>
    <mergeCell ref="A427:G427"/>
    <mergeCell ref="H427:I427"/>
    <mergeCell ref="J427:Y432"/>
    <mergeCell ref="A428:G429"/>
    <mergeCell ref="H428:I428"/>
    <mergeCell ref="H429:I429"/>
    <mergeCell ref="A430:I430"/>
    <mergeCell ref="A431:I432"/>
    <mergeCell ref="A433:G433"/>
    <mergeCell ref="H433:I433"/>
    <mergeCell ref="J433:Y438"/>
    <mergeCell ref="A434:G435"/>
    <mergeCell ref="H434:I434"/>
    <mergeCell ref="H435:I435"/>
    <mergeCell ref="A436:I436"/>
    <mergeCell ref="A437:I438"/>
    <mergeCell ref="A439:G439"/>
    <mergeCell ref="H439:I439"/>
    <mergeCell ref="J439:Y444"/>
    <mergeCell ref="A440:G441"/>
    <mergeCell ref="H440:I440"/>
    <mergeCell ref="H441:I441"/>
    <mergeCell ref="A442:I442"/>
    <mergeCell ref="A443:I444"/>
    <mergeCell ref="A445:G445"/>
    <mergeCell ref="H445:I445"/>
    <mergeCell ref="J445:Y450"/>
    <mergeCell ref="A446:G447"/>
    <mergeCell ref="H446:I446"/>
    <mergeCell ref="H447:I447"/>
    <mergeCell ref="A448:I448"/>
    <mergeCell ref="A449:I450"/>
    <mergeCell ref="A451:G451"/>
    <mergeCell ref="H451:I451"/>
    <mergeCell ref="J451:Y456"/>
    <mergeCell ref="A452:G453"/>
    <mergeCell ref="H452:I452"/>
    <mergeCell ref="H453:I453"/>
    <mergeCell ref="A454:I454"/>
    <mergeCell ref="A455:I456"/>
    <mergeCell ref="A457:G457"/>
    <mergeCell ref="H457:I457"/>
    <mergeCell ref="J457:Y462"/>
    <mergeCell ref="A458:G459"/>
    <mergeCell ref="H458:I458"/>
    <mergeCell ref="H459:I459"/>
    <mergeCell ref="A460:I460"/>
    <mergeCell ref="A461:I462"/>
    <mergeCell ref="A463:G463"/>
    <mergeCell ref="H463:I463"/>
    <mergeCell ref="J463:Y468"/>
    <mergeCell ref="A464:G465"/>
    <mergeCell ref="H464:I464"/>
    <mergeCell ref="H465:I465"/>
    <mergeCell ref="A466:I466"/>
    <mergeCell ref="A467:I468"/>
    <mergeCell ref="A469:G469"/>
    <mergeCell ref="H469:I469"/>
    <mergeCell ref="J469:Y474"/>
    <mergeCell ref="A470:G471"/>
    <mergeCell ref="H470:I470"/>
    <mergeCell ref="H471:I471"/>
    <mergeCell ref="A472:I472"/>
    <mergeCell ref="A473:I474"/>
    <mergeCell ref="A475:G475"/>
    <mergeCell ref="H475:I475"/>
    <mergeCell ref="J475:Y480"/>
    <mergeCell ref="A476:G477"/>
    <mergeCell ref="H476:I476"/>
    <mergeCell ref="H477:I477"/>
    <mergeCell ref="A478:I478"/>
    <mergeCell ref="A479:I480"/>
    <mergeCell ref="A481:G481"/>
    <mergeCell ref="H481:I481"/>
    <mergeCell ref="J481:Y486"/>
    <mergeCell ref="A482:G483"/>
    <mergeCell ref="H482:I482"/>
    <mergeCell ref="H483:I483"/>
    <mergeCell ref="A484:I484"/>
    <mergeCell ref="A485:I486"/>
    <mergeCell ref="A487:G487"/>
    <mergeCell ref="H487:I487"/>
    <mergeCell ref="J487:Y492"/>
    <mergeCell ref="A488:G489"/>
    <mergeCell ref="H488:I488"/>
    <mergeCell ref="H489:I489"/>
    <mergeCell ref="A490:I490"/>
    <mergeCell ref="A491:I492"/>
    <mergeCell ref="A493:G493"/>
    <mergeCell ref="H493:I493"/>
    <mergeCell ref="J493:Y498"/>
    <mergeCell ref="A494:G495"/>
    <mergeCell ref="H494:I494"/>
    <mergeCell ref="H495:I495"/>
    <mergeCell ref="A496:I496"/>
    <mergeCell ref="A497:I498"/>
    <mergeCell ref="A499:G499"/>
    <mergeCell ref="H499:I499"/>
    <mergeCell ref="J499:Y504"/>
    <mergeCell ref="A500:G501"/>
    <mergeCell ref="H500:I500"/>
    <mergeCell ref="H501:I501"/>
    <mergeCell ref="A502:I502"/>
    <mergeCell ref="A503:I504"/>
    <mergeCell ref="A505:G505"/>
    <mergeCell ref="H505:I505"/>
    <mergeCell ref="J505:Y510"/>
    <mergeCell ref="A506:G507"/>
    <mergeCell ref="H506:I506"/>
    <mergeCell ref="H507:I507"/>
    <mergeCell ref="A508:I508"/>
    <mergeCell ref="A509:I510"/>
    <mergeCell ref="A511:G511"/>
    <mergeCell ref="H511:I511"/>
    <mergeCell ref="J511:Y516"/>
    <mergeCell ref="A512:G513"/>
    <mergeCell ref="H512:I512"/>
    <mergeCell ref="H513:I513"/>
    <mergeCell ref="A514:I514"/>
    <mergeCell ref="A515:I516"/>
    <mergeCell ref="A517:G517"/>
    <mergeCell ref="H517:I517"/>
    <mergeCell ref="J517:Y522"/>
    <mergeCell ref="A518:G519"/>
    <mergeCell ref="H518:I518"/>
    <mergeCell ref="H519:I519"/>
    <mergeCell ref="A520:I520"/>
    <mergeCell ref="A521:I522"/>
    <mergeCell ref="A523:G523"/>
    <mergeCell ref="H523:I523"/>
    <mergeCell ref="J523:Y528"/>
    <mergeCell ref="A524:G525"/>
    <mergeCell ref="H524:I524"/>
    <mergeCell ref="H525:I525"/>
    <mergeCell ref="A526:I526"/>
    <mergeCell ref="A527:I528"/>
    <mergeCell ref="A529:G529"/>
    <mergeCell ref="H529:I529"/>
    <mergeCell ref="J529:Y534"/>
    <mergeCell ref="A530:G531"/>
    <mergeCell ref="H530:I530"/>
    <mergeCell ref="H531:I531"/>
    <mergeCell ref="A532:I532"/>
    <mergeCell ref="A533:I534"/>
    <mergeCell ref="A535:G535"/>
    <mergeCell ref="H535:I535"/>
    <mergeCell ref="J535:Y540"/>
    <mergeCell ref="A536:G537"/>
    <mergeCell ref="H536:I536"/>
    <mergeCell ref="H537:I537"/>
    <mergeCell ref="A538:I538"/>
    <mergeCell ref="A539:I540"/>
    <mergeCell ref="A541:G541"/>
    <mergeCell ref="H541:I541"/>
    <mergeCell ref="J541:Y546"/>
    <mergeCell ref="A542:G543"/>
    <mergeCell ref="H542:I542"/>
    <mergeCell ref="H543:I543"/>
    <mergeCell ref="A544:I544"/>
    <mergeCell ref="A545:I546"/>
    <mergeCell ref="A547:G547"/>
    <mergeCell ref="H547:I547"/>
    <mergeCell ref="J547:Y552"/>
    <mergeCell ref="A548:G549"/>
    <mergeCell ref="H548:I548"/>
    <mergeCell ref="H549:I549"/>
    <mergeCell ref="A550:I550"/>
    <mergeCell ref="A551:I552"/>
    <mergeCell ref="A553:G553"/>
    <mergeCell ref="H553:I553"/>
    <mergeCell ref="J553:Y558"/>
    <mergeCell ref="A554:G555"/>
    <mergeCell ref="H554:I554"/>
    <mergeCell ref="H555:I555"/>
    <mergeCell ref="A556:I556"/>
    <mergeCell ref="A557:I558"/>
    <mergeCell ref="A559:G559"/>
    <mergeCell ref="H559:I559"/>
    <mergeCell ref="J559:Y564"/>
    <mergeCell ref="A560:G561"/>
    <mergeCell ref="H560:I560"/>
    <mergeCell ref="H561:I561"/>
    <mergeCell ref="A562:I562"/>
    <mergeCell ref="A563:I564"/>
    <mergeCell ref="A565:G565"/>
    <mergeCell ref="H565:I565"/>
    <mergeCell ref="J565:Y570"/>
    <mergeCell ref="A566:G567"/>
    <mergeCell ref="H566:I566"/>
    <mergeCell ref="H567:I567"/>
    <mergeCell ref="A568:I568"/>
    <mergeCell ref="A569:I570"/>
    <mergeCell ref="A571:G571"/>
    <mergeCell ref="H571:I571"/>
    <mergeCell ref="J571:Y576"/>
    <mergeCell ref="A572:G573"/>
    <mergeCell ref="H572:I572"/>
    <mergeCell ref="H573:I573"/>
    <mergeCell ref="A574:I574"/>
    <mergeCell ref="A575:I576"/>
    <mergeCell ref="A577:G577"/>
    <mergeCell ref="H577:I577"/>
    <mergeCell ref="J577:Y582"/>
    <mergeCell ref="A578:G579"/>
    <mergeCell ref="H578:I578"/>
    <mergeCell ref="H579:I579"/>
    <mergeCell ref="A580:I580"/>
    <mergeCell ref="A581:I582"/>
    <mergeCell ref="A583:G583"/>
    <mergeCell ref="H583:I583"/>
    <mergeCell ref="J583:Y588"/>
    <mergeCell ref="A584:G585"/>
    <mergeCell ref="H584:I584"/>
    <mergeCell ref="H585:I585"/>
    <mergeCell ref="A586:I586"/>
    <mergeCell ref="A587:I588"/>
    <mergeCell ref="Z616:AF618"/>
    <mergeCell ref="A617:I618"/>
    <mergeCell ref="A589:G589"/>
    <mergeCell ref="H589:I589"/>
    <mergeCell ref="J589:Y594"/>
    <mergeCell ref="A590:G591"/>
    <mergeCell ref="H590:I590"/>
    <mergeCell ref="H591:I591"/>
    <mergeCell ref="A592:I592"/>
    <mergeCell ref="A593:I594"/>
    <mergeCell ref="A595:G595"/>
    <mergeCell ref="H595:I595"/>
    <mergeCell ref="J595:Y600"/>
    <mergeCell ref="A596:G597"/>
    <mergeCell ref="H596:I596"/>
    <mergeCell ref="H597:I597"/>
    <mergeCell ref="A598:I598"/>
    <mergeCell ref="A599:I600"/>
    <mergeCell ref="A601:G601"/>
    <mergeCell ref="H601:I601"/>
    <mergeCell ref="J601:Y606"/>
    <mergeCell ref="A602:G603"/>
    <mergeCell ref="H602:I602"/>
    <mergeCell ref="H603:I603"/>
    <mergeCell ref="A604:I604"/>
    <mergeCell ref="A605:I606"/>
    <mergeCell ref="Z589:AD589"/>
    <mergeCell ref="AE589:AF589"/>
    <mergeCell ref="Z626:AD627"/>
    <mergeCell ref="AE626:AF627"/>
    <mergeCell ref="H627:I627"/>
    <mergeCell ref="A628:I628"/>
    <mergeCell ref="Z628:AF630"/>
    <mergeCell ref="A629:I630"/>
    <mergeCell ref="A607:G607"/>
    <mergeCell ref="H607:I607"/>
    <mergeCell ref="J607:Y612"/>
    <mergeCell ref="Z607:AD607"/>
    <mergeCell ref="AE607:AF607"/>
    <mergeCell ref="AG607:AX612"/>
    <mergeCell ref="A608:G609"/>
    <mergeCell ref="H608:I608"/>
    <mergeCell ref="Z608:AD609"/>
    <mergeCell ref="AE608:AF609"/>
    <mergeCell ref="H609:I609"/>
    <mergeCell ref="A610:I610"/>
    <mergeCell ref="Z610:AF612"/>
    <mergeCell ref="A611:I612"/>
    <mergeCell ref="A613:G613"/>
    <mergeCell ref="H613:I613"/>
    <mergeCell ref="J613:Y618"/>
    <mergeCell ref="Z613:AD613"/>
    <mergeCell ref="AE613:AF613"/>
    <mergeCell ref="AG613:AX618"/>
    <mergeCell ref="A614:G615"/>
    <mergeCell ref="H614:I614"/>
    <mergeCell ref="Z614:AD615"/>
    <mergeCell ref="AE614:AF615"/>
    <mergeCell ref="H615:I615"/>
    <mergeCell ref="A616:I616"/>
    <mergeCell ref="AE637:AF637"/>
    <mergeCell ref="AG637:AX642"/>
    <mergeCell ref="A638:G639"/>
    <mergeCell ref="H638:I638"/>
    <mergeCell ref="Z638:AD639"/>
    <mergeCell ref="AE638:AF639"/>
    <mergeCell ref="H639:I639"/>
    <mergeCell ref="A640:I640"/>
    <mergeCell ref="Z640:AF642"/>
    <mergeCell ref="A641:I642"/>
    <mergeCell ref="A619:G619"/>
    <mergeCell ref="H619:I619"/>
    <mergeCell ref="J619:Y624"/>
    <mergeCell ref="Z619:AD619"/>
    <mergeCell ref="AE619:AF619"/>
    <mergeCell ref="AG619:AX624"/>
    <mergeCell ref="A620:G621"/>
    <mergeCell ref="H620:I620"/>
    <mergeCell ref="Z620:AD621"/>
    <mergeCell ref="AE620:AF621"/>
    <mergeCell ref="H621:I621"/>
    <mergeCell ref="A622:I622"/>
    <mergeCell ref="Z622:AF624"/>
    <mergeCell ref="A623:I624"/>
    <mergeCell ref="A625:G625"/>
    <mergeCell ref="H625:I625"/>
    <mergeCell ref="J625:Y630"/>
    <mergeCell ref="Z625:AD625"/>
    <mergeCell ref="AE625:AF625"/>
    <mergeCell ref="AG625:AX630"/>
    <mergeCell ref="A626:G627"/>
    <mergeCell ref="H626:I626"/>
    <mergeCell ref="A643:G643"/>
    <mergeCell ref="H643:I643"/>
    <mergeCell ref="J643:Y648"/>
    <mergeCell ref="Z643:AD643"/>
    <mergeCell ref="AE643:AF643"/>
    <mergeCell ref="AG643:AX648"/>
    <mergeCell ref="A644:G645"/>
    <mergeCell ref="H644:I644"/>
    <mergeCell ref="Z644:AD645"/>
    <mergeCell ref="AE644:AF645"/>
    <mergeCell ref="H645:I645"/>
    <mergeCell ref="A646:I646"/>
    <mergeCell ref="Z646:AF648"/>
    <mergeCell ref="A647:I648"/>
    <mergeCell ref="A631:G631"/>
    <mergeCell ref="H631:I631"/>
    <mergeCell ref="J631:Y636"/>
    <mergeCell ref="Z631:AD631"/>
    <mergeCell ref="AE631:AF631"/>
    <mergeCell ref="AG631:AX636"/>
    <mergeCell ref="A632:G633"/>
    <mergeCell ref="H632:I632"/>
    <mergeCell ref="Z632:AD633"/>
    <mergeCell ref="AE632:AF633"/>
    <mergeCell ref="H633:I633"/>
    <mergeCell ref="A634:I634"/>
    <mergeCell ref="Z634:AF636"/>
    <mergeCell ref="A635:I636"/>
    <mergeCell ref="A637:G637"/>
    <mergeCell ref="H637:I637"/>
    <mergeCell ref="J637:Y642"/>
    <mergeCell ref="Z637:AD637"/>
  </mergeCells>
  <dataValidations count="3">
    <dataValidation type="list" allowBlank="1" showInputMessage="1" showErrorMessage="1" sqref="A7 A13 A19 A25 A31 A37 A43 A49 A55 A61 A67 A73 A79 A85 A91 A97 A103 A109 A115 A121 A127 A133 A139 A145 A151 A157 A163 A169 A175 A181 A187 A193 A199 A205 A211 A217 A223 A229 A235 A241 A247 A253 A259 A265 A271 A277 A283 A289 A295 A301 A307 A313 A319 A325 A331 A337 A343 A349 A355 A361 A367 A373 A379 A385 A391 A397 A403 A409 A415 A421 A427 A433 A439 A445 A451 A457 A463 A469 A475 A481 A487 A493 A499 A505 A511 A517 A523 A529 A535 A541 A547 A553 A559 A565 A571 A577 A583 A589 A595 A601 A607 A613 A619 A625 A631 A637 A643">
      <formula1>Purviews</formula1>
    </dataValidation>
    <dataValidation type="list" allowBlank="1" showInputMessage="1" showErrorMessage="1" sqref="Z7 Z13 Z19 Z25 Z31 Z37 Z43 Z49 Z55 Z61 Z67 Z73 Z79 Z85 Z91 Z97 Z103 Z109 Z115 Z121 Z127 Z133 Z139 Z145 Z151 Z157 Z163 Z169 Z175 Z181 Z187 Z193 Z199 Z205 Z211 Z217 Z223 Z229 Z235 Z241 Z247 Z253 Z259 Z265 Z271 Z277 Z283 Z289 Z295 Z301 Z307 Z313 Z319 Z325 Z331 Z337 Z343 Z349 Z355 Z361 Z367 Z373 Z379 Z385 Z391 Z397 Z403 Z409 Z415 Z421 Z427 Z433 Z439 Z445 Z451 Z457 Z463 Z469 Z475 Z481 Z487 Z493 Z499 Z505 Z511 Z517 Z523 Z529 Z535 Z541 Z547 Z553 Z559 Z565 Z571 Z577 Z583 Z589 Z595 Z601 Z607 Z613 Z619 Z625 Z631 Z637 Z643">
      <formula1>Knack</formula1>
    </dataValidation>
    <dataValidation type="list" allowBlank="1" showInputMessage="1" showErrorMessage="1" sqref="Z422:AD423 Z428:AD429 Z434:AD435 Z440:AD441 Z446:AD447 Z452:AD453 Z458:AD459 Z464:AD465 Z470:AD471 Z476:AD477 Z482:AD483 Z488:AD489 Z494:AD495 Z500:AD501 Z506:AD507 Z512:AD513 Z518:AD519 Z524:AD525 Z530:AD531 Z536:AD537 Z542:AD543 Z548:AD549 Z554:AD555 Z560:AD561 Z566:AD567 Z572:AD573 Z578:AD579 Z584:AD585 Z590:AD591 Z596:AD597 Z602:AD603 Z398:AD399 Z404:AD405 Z410:AD411 Z416:AD417 A398:G399 A404:G405 A410:G411 A416:G417 A422:G423 A428:G429 A434:G435 A440:G441 A446:G447 A452:G453 A458:G459 A464:G465 A470:G471 A476:G477 A482:G483 A488:G489 A494:G495 A500:G501 A506:G507 A512:G513 A518:G519 A524:G525 A530:G531 A536:G537 A542:G543 A548:G549 A554:G555 A560:G561 A566:G567 A572:G573 A578:G579 A584:G585 A590:G591 A596:G597 A602:G603 A392:G393 A386:G387 A380:G381 A374:G375 A368:G369 A362:G363 A356:G357 A350:G351 A344:G345 A338:G339 A332:G333 A326:G327 A320:G321 A314:G315 A308:G309 A302:G303 A296:G297 A290:G291 A284:G285 A278:G279 A272:G273 A266:G267 A260:G261 A254:G255 A248:G249 A242:G243 A236:G237 A230:G231 A224:G225 A218:G219 A212:G213 A206:G207 Z392:AD393 Z386:AD387 Z380:AD381 Z374:AD375 Z368:AD369 Z362:AD363 Z356:AD357 Z350:AD351 Z344:AD345 Z338:AD339 Z332:AD333 Z326:AD327 Z320:AD321 Z314:AD315 Z308:AD309 Z302:AD303 Z296:AD297 Z290:AD291 Z284:AD285 Z278:AD279 Z272:AD273 Z266:AD267 Z260:AD261 Z254:AD255 Z248:AD249 Z242:AD243 Z236:AD237 Z230:AD231 Z224:AD225 Z218:AD219 Z212:AD213 Z206:AD207 A200:G201 A194:G195 A188:G189 A182:G183 A176:G177 A170:G171 A164:G165 A158:G159 A152:G153 A146:G147 A140:G141 A134:G135 A128:G129 A122:G123 A116:G117 A110:G111 A104:G105 A98:G99 Z200:AD201 Z194:AD195 Z188:AD189 Z182:AD183 Z176:AD177 Z170:AD171 Z164:AD165 Z158:AD159 Z152:AD153 Z146:AD147 Z140:AD141 Z134:AD135 Z128:AD129 Z122:AD123 Z116:AD117 Z110:AD111 Z104:AD105 Z98:AD99 Z8:AD9 A8:G9 Z14:AD15 Z20:AD21 Z26:AD27 Z32:AD33 Z38:AD39 Z44:AD45 Z50:AD51 Z56:AD57 Z62:AD63 Z68:AD69 Z74:AD75 Z80:AD81 Z86:AD87 Z92:AD93 A14:G15 A20:G21 A26:G27 A32:G33 A38:G39 A44:G45 A50:G51 A56:G57 A62:G63 A68:G69 A74:G75 A80:G81 A86:G87 A92:G93 Z608:AD609 Z614:AD615 Z620:AD621 Z626:AD627 Z632:AD633 Z638:AD639 Z644:AD645 A608:G609 A614:G615 A620:G621 A626:G627 A632:G633 A638:G639 A644:G645">
      <formula1>INDIRECT(A7)</formula1>
    </dataValidation>
  </dataValidations>
  <pageMargins left="0.7" right="0.7" top="0.75" bottom="0.75" header="0.3" footer="0.3"/>
  <pageSetup scale="86" orientation="portrait" horizontalDpi="0" verticalDpi="0" r:id="rId1"/>
  <rowBreaks count="8" manualBreakCount="8">
    <brk id="54" max="16383" man="1"/>
    <brk id="108" max="16383" man="1"/>
    <brk id="162" max="16383" man="1"/>
    <brk id="216" max="16383" man="1"/>
    <brk id="270" max="16383" man="1"/>
    <brk id="324" max="16383" man="1"/>
    <brk id="378" max="16383" man="1"/>
    <brk id="432" max="16383" man="1"/>
  </rowBreaks>
  <colBreaks count="2" manualBreakCount="2">
    <brk id="25"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X96"/>
  <sheetViews>
    <sheetView view="pageBreakPreview" zoomScale="60" zoomScaleNormal="100" workbookViewId="0">
      <selection activeCell="A42" sqref="A36:Y42"/>
    </sheetView>
  </sheetViews>
  <sheetFormatPr defaultRowHeight="15" x14ac:dyDescent="0.25"/>
  <cols>
    <col min="1" max="50" width="3.7109375" style="279" customWidth="1"/>
    <col min="51" max="16384" width="9.140625" style="279"/>
  </cols>
  <sheetData>
    <row r="1" spans="1:50" x14ac:dyDescent="0.25">
      <c r="A1" s="565" t="s">
        <v>75</v>
      </c>
      <c r="B1" s="566"/>
      <c r="C1" s="566"/>
      <c r="D1" s="527"/>
      <c r="E1" s="527"/>
      <c r="F1" s="527"/>
      <c r="G1" s="527"/>
      <c r="H1" s="527"/>
      <c r="I1" s="527"/>
      <c r="J1" s="527"/>
      <c r="K1" s="527"/>
      <c r="L1" s="527"/>
      <c r="M1" s="527"/>
      <c r="N1" s="566" t="s">
        <v>911</v>
      </c>
      <c r="O1" s="566"/>
      <c r="P1" s="527"/>
      <c r="Q1" s="527"/>
      <c r="R1" s="566" t="s">
        <v>914</v>
      </c>
      <c r="S1" s="566"/>
      <c r="T1" s="527"/>
      <c r="U1" s="527"/>
      <c r="V1" s="566" t="s">
        <v>917</v>
      </c>
      <c r="W1" s="566"/>
      <c r="X1" s="527"/>
      <c r="Y1" s="528"/>
      <c r="Z1" s="565" t="s">
        <v>75</v>
      </c>
      <c r="AA1" s="566"/>
      <c r="AB1" s="566"/>
      <c r="AC1" s="527"/>
      <c r="AD1" s="527"/>
      <c r="AE1" s="527"/>
      <c r="AF1" s="527"/>
      <c r="AG1" s="527"/>
      <c r="AH1" s="527"/>
      <c r="AI1" s="527"/>
      <c r="AJ1" s="527"/>
      <c r="AK1" s="527"/>
      <c r="AL1" s="527"/>
      <c r="AM1" s="566" t="s">
        <v>911</v>
      </c>
      <c r="AN1" s="566"/>
      <c r="AO1" s="527"/>
      <c r="AP1" s="527"/>
      <c r="AQ1" s="566" t="s">
        <v>914</v>
      </c>
      <c r="AR1" s="566"/>
      <c r="AS1" s="527"/>
      <c r="AT1" s="527"/>
      <c r="AU1" s="566" t="s">
        <v>917</v>
      </c>
      <c r="AV1" s="566"/>
      <c r="AW1" s="527"/>
      <c r="AX1" s="528"/>
    </row>
    <row r="2" spans="1:50" x14ac:dyDescent="0.25">
      <c r="A2" s="559" t="s">
        <v>0</v>
      </c>
      <c r="B2" s="560"/>
      <c r="C2" s="560"/>
      <c r="D2" s="529"/>
      <c r="E2" s="529"/>
      <c r="F2" s="529"/>
      <c r="G2" s="529"/>
      <c r="H2" s="529"/>
      <c r="I2" s="529"/>
      <c r="J2" s="529"/>
      <c r="K2" s="529"/>
      <c r="L2" s="529"/>
      <c r="M2" s="529"/>
      <c r="N2" s="560" t="s">
        <v>912</v>
      </c>
      <c r="O2" s="560" t="s">
        <v>912</v>
      </c>
      <c r="P2" s="529"/>
      <c r="Q2" s="529"/>
      <c r="R2" s="560" t="s">
        <v>915</v>
      </c>
      <c r="S2" s="560"/>
      <c r="T2" s="529"/>
      <c r="U2" s="529"/>
      <c r="V2" s="560" t="s">
        <v>918</v>
      </c>
      <c r="W2" s="560"/>
      <c r="X2" s="529"/>
      <c r="Y2" s="530"/>
      <c r="Z2" s="559" t="s">
        <v>0</v>
      </c>
      <c r="AA2" s="560"/>
      <c r="AB2" s="560"/>
      <c r="AC2" s="529"/>
      <c r="AD2" s="529"/>
      <c r="AE2" s="529"/>
      <c r="AF2" s="529"/>
      <c r="AG2" s="529"/>
      <c r="AH2" s="529"/>
      <c r="AI2" s="529"/>
      <c r="AJ2" s="529"/>
      <c r="AK2" s="529"/>
      <c r="AL2" s="529"/>
      <c r="AM2" s="560" t="s">
        <v>912</v>
      </c>
      <c r="AN2" s="560" t="s">
        <v>912</v>
      </c>
      <c r="AO2" s="529"/>
      <c r="AP2" s="529"/>
      <c r="AQ2" s="560" t="s">
        <v>915</v>
      </c>
      <c r="AR2" s="560"/>
      <c r="AS2" s="529"/>
      <c r="AT2" s="529"/>
      <c r="AU2" s="560" t="s">
        <v>918</v>
      </c>
      <c r="AV2" s="560"/>
      <c r="AW2" s="529"/>
      <c r="AX2" s="530"/>
    </row>
    <row r="3" spans="1:50" x14ac:dyDescent="0.25">
      <c r="A3" s="559" t="s">
        <v>77</v>
      </c>
      <c r="B3" s="560"/>
      <c r="C3" s="560"/>
      <c r="D3" s="529"/>
      <c r="E3" s="529"/>
      <c r="F3" s="529"/>
      <c r="G3" s="529"/>
      <c r="H3" s="529"/>
      <c r="I3" s="529"/>
      <c r="J3" s="529"/>
      <c r="K3" s="529"/>
      <c r="L3" s="529"/>
      <c r="M3" s="529"/>
      <c r="N3" s="560" t="s">
        <v>913</v>
      </c>
      <c r="O3" s="560"/>
      <c r="P3" s="529"/>
      <c r="Q3" s="529"/>
      <c r="R3" s="560" t="s">
        <v>916</v>
      </c>
      <c r="S3" s="560"/>
      <c r="T3" s="529"/>
      <c r="U3" s="529"/>
      <c r="V3" s="560" t="s">
        <v>919</v>
      </c>
      <c r="W3" s="560"/>
      <c r="X3" s="529"/>
      <c r="Y3" s="530"/>
      <c r="Z3" s="559" t="s">
        <v>77</v>
      </c>
      <c r="AA3" s="560"/>
      <c r="AB3" s="560"/>
      <c r="AC3" s="529"/>
      <c r="AD3" s="529"/>
      <c r="AE3" s="529"/>
      <c r="AF3" s="529"/>
      <c r="AG3" s="529"/>
      <c r="AH3" s="529"/>
      <c r="AI3" s="529"/>
      <c r="AJ3" s="529"/>
      <c r="AK3" s="529"/>
      <c r="AL3" s="529"/>
      <c r="AM3" s="560" t="s">
        <v>913</v>
      </c>
      <c r="AN3" s="560"/>
      <c r="AO3" s="529"/>
      <c r="AP3" s="529"/>
      <c r="AQ3" s="560" t="s">
        <v>916</v>
      </c>
      <c r="AR3" s="560"/>
      <c r="AS3" s="529"/>
      <c r="AT3" s="529"/>
      <c r="AU3" s="560" t="s">
        <v>919</v>
      </c>
      <c r="AV3" s="560"/>
      <c r="AW3" s="529"/>
      <c r="AX3" s="530"/>
    </row>
    <row r="4" spans="1:50" x14ac:dyDescent="0.25">
      <c r="A4" s="559" t="s">
        <v>31</v>
      </c>
      <c r="B4" s="560"/>
      <c r="C4" s="560"/>
      <c r="D4" s="560"/>
      <c r="E4" s="529"/>
      <c r="F4" s="529"/>
      <c r="G4" s="560" t="s">
        <v>922</v>
      </c>
      <c r="H4" s="560"/>
      <c r="I4" s="560"/>
      <c r="J4" s="560"/>
      <c r="K4" s="560"/>
      <c r="L4" s="560"/>
      <c r="M4" s="560" t="s">
        <v>69</v>
      </c>
      <c r="N4" s="560"/>
      <c r="O4" s="560"/>
      <c r="P4" s="560"/>
      <c r="Q4" s="560"/>
      <c r="R4" s="560"/>
      <c r="S4" s="560"/>
      <c r="T4" s="560"/>
      <c r="U4" s="560"/>
      <c r="V4" s="560"/>
      <c r="W4" s="560"/>
      <c r="X4" s="560"/>
      <c r="Y4" s="561"/>
      <c r="Z4" s="559" t="s">
        <v>31</v>
      </c>
      <c r="AA4" s="560"/>
      <c r="AB4" s="560"/>
      <c r="AC4" s="560"/>
      <c r="AD4" s="529"/>
      <c r="AE4" s="529"/>
      <c r="AF4" s="560" t="s">
        <v>922</v>
      </c>
      <c r="AG4" s="560"/>
      <c r="AH4" s="560"/>
      <c r="AI4" s="560"/>
      <c r="AJ4" s="560"/>
      <c r="AK4" s="560"/>
      <c r="AL4" s="560" t="s">
        <v>69</v>
      </c>
      <c r="AM4" s="560"/>
      <c r="AN4" s="560"/>
      <c r="AO4" s="560"/>
      <c r="AP4" s="560"/>
      <c r="AQ4" s="560"/>
      <c r="AR4" s="560"/>
      <c r="AS4" s="560"/>
      <c r="AT4" s="560"/>
      <c r="AU4" s="560"/>
      <c r="AV4" s="560"/>
      <c r="AW4" s="560"/>
      <c r="AX4" s="561"/>
    </row>
    <row r="5" spans="1:50" x14ac:dyDescent="0.25">
      <c r="A5" s="562"/>
      <c r="B5" s="529"/>
      <c r="C5" s="529"/>
      <c r="D5" s="529"/>
      <c r="E5" s="529"/>
      <c r="F5" s="529"/>
      <c r="G5" s="560" t="s">
        <v>89</v>
      </c>
      <c r="H5" s="560"/>
      <c r="I5" s="560"/>
      <c r="J5" s="560"/>
      <c r="K5" s="529"/>
      <c r="L5" s="529"/>
      <c r="M5" s="529"/>
      <c r="N5" s="529"/>
      <c r="O5" s="529"/>
      <c r="P5" s="529"/>
      <c r="Q5" s="529"/>
      <c r="R5" s="529"/>
      <c r="S5" s="529"/>
      <c r="T5" s="529"/>
      <c r="U5" s="529"/>
      <c r="V5" s="529"/>
      <c r="W5" s="529"/>
      <c r="X5" s="529"/>
      <c r="Y5" s="530"/>
      <c r="Z5" s="562"/>
      <c r="AA5" s="529"/>
      <c r="AB5" s="529"/>
      <c r="AC5" s="529"/>
      <c r="AD5" s="529"/>
      <c r="AE5" s="529"/>
      <c r="AF5" s="560" t="s">
        <v>89</v>
      </c>
      <c r="AG5" s="560"/>
      <c r="AH5" s="560"/>
      <c r="AI5" s="560"/>
      <c r="AJ5" s="529"/>
      <c r="AK5" s="529"/>
      <c r="AL5" s="529"/>
      <c r="AM5" s="529"/>
      <c r="AN5" s="529"/>
      <c r="AO5" s="529"/>
      <c r="AP5" s="529"/>
      <c r="AQ5" s="529"/>
      <c r="AR5" s="529"/>
      <c r="AS5" s="529"/>
      <c r="AT5" s="529"/>
      <c r="AU5" s="529"/>
      <c r="AV5" s="529"/>
      <c r="AW5" s="529"/>
      <c r="AX5" s="530"/>
    </row>
    <row r="6" spans="1:50" x14ac:dyDescent="0.25">
      <c r="A6" s="562"/>
      <c r="B6" s="529"/>
      <c r="C6" s="529"/>
      <c r="D6" s="529"/>
      <c r="E6" s="529"/>
      <c r="F6" s="529"/>
      <c r="G6" s="560" t="s">
        <v>90</v>
      </c>
      <c r="H6" s="560"/>
      <c r="I6" s="560"/>
      <c r="J6" s="560"/>
      <c r="K6" s="529"/>
      <c r="L6" s="529"/>
      <c r="M6" s="529"/>
      <c r="N6" s="529"/>
      <c r="O6" s="529"/>
      <c r="P6" s="529"/>
      <c r="Q6" s="529"/>
      <c r="R6" s="529"/>
      <c r="S6" s="529"/>
      <c r="T6" s="529"/>
      <c r="U6" s="529"/>
      <c r="V6" s="529"/>
      <c r="W6" s="529"/>
      <c r="X6" s="529"/>
      <c r="Y6" s="530"/>
      <c r="Z6" s="562"/>
      <c r="AA6" s="529"/>
      <c r="AB6" s="529"/>
      <c r="AC6" s="529"/>
      <c r="AD6" s="529"/>
      <c r="AE6" s="529"/>
      <c r="AF6" s="560" t="s">
        <v>90</v>
      </c>
      <c r="AG6" s="560"/>
      <c r="AH6" s="560"/>
      <c r="AI6" s="560"/>
      <c r="AJ6" s="529"/>
      <c r="AK6" s="529"/>
      <c r="AL6" s="529"/>
      <c r="AM6" s="529"/>
      <c r="AN6" s="529"/>
      <c r="AO6" s="529"/>
      <c r="AP6" s="529"/>
      <c r="AQ6" s="529"/>
      <c r="AR6" s="529"/>
      <c r="AS6" s="529"/>
      <c r="AT6" s="529"/>
      <c r="AU6" s="529"/>
      <c r="AV6" s="529"/>
      <c r="AW6" s="529"/>
      <c r="AX6" s="530"/>
    </row>
    <row r="7" spans="1:50" x14ac:dyDescent="0.25">
      <c r="A7" s="562"/>
      <c r="B7" s="529"/>
      <c r="C7" s="529"/>
      <c r="D7" s="529"/>
      <c r="E7" s="529"/>
      <c r="F7" s="529"/>
      <c r="G7" s="560" t="s">
        <v>91</v>
      </c>
      <c r="H7" s="560"/>
      <c r="I7" s="560"/>
      <c r="J7" s="560"/>
      <c r="K7" s="529"/>
      <c r="L7" s="529"/>
      <c r="M7" s="529"/>
      <c r="N7" s="529"/>
      <c r="O7" s="529"/>
      <c r="P7" s="529"/>
      <c r="Q7" s="529"/>
      <c r="R7" s="529"/>
      <c r="S7" s="529"/>
      <c r="T7" s="529"/>
      <c r="U7" s="529"/>
      <c r="V7" s="529"/>
      <c r="W7" s="529"/>
      <c r="X7" s="529"/>
      <c r="Y7" s="530"/>
      <c r="Z7" s="562"/>
      <c r="AA7" s="529"/>
      <c r="AB7" s="529"/>
      <c r="AC7" s="529"/>
      <c r="AD7" s="529"/>
      <c r="AE7" s="529"/>
      <c r="AF7" s="560" t="s">
        <v>91</v>
      </c>
      <c r="AG7" s="560"/>
      <c r="AH7" s="560"/>
      <c r="AI7" s="560"/>
      <c r="AJ7" s="529"/>
      <c r="AK7" s="529"/>
      <c r="AL7" s="529"/>
      <c r="AM7" s="529"/>
      <c r="AN7" s="529"/>
      <c r="AO7" s="529"/>
      <c r="AP7" s="529"/>
      <c r="AQ7" s="529"/>
      <c r="AR7" s="529"/>
      <c r="AS7" s="529"/>
      <c r="AT7" s="529"/>
      <c r="AU7" s="529"/>
      <c r="AV7" s="529"/>
      <c r="AW7" s="529"/>
      <c r="AX7" s="530"/>
    </row>
    <row r="8" spans="1:50" x14ac:dyDescent="0.25">
      <c r="A8" s="562"/>
      <c r="B8" s="529"/>
      <c r="C8" s="529"/>
      <c r="D8" s="529"/>
      <c r="E8" s="529"/>
      <c r="F8" s="529"/>
      <c r="G8" s="560" t="s">
        <v>95</v>
      </c>
      <c r="H8" s="560"/>
      <c r="I8" s="560"/>
      <c r="J8" s="560"/>
      <c r="K8" s="529"/>
      <c r="L8" s="529"/>
      <c r="M8" s="529"/>
      <c r="N8" s="529"/>
      <c r="O8" s="529"/>
      <c r="P8" s="529"/>
      <c r="Q8" s="529"/>
      <c r="R8" s="529"/>
      <c r="S8" s="529"/>
      <c r="T8" s="529"/>
      <c r="U8" s="529"/>
      <c r="V8" s="529"/>
      <c r="W8" s="529"/>
      <c r="X8" s="529"/>
      <c r="Y8" s="530"/>
      <c r="Z8" s="562"/>
      <c r="AA8" s="529"/>
      <c r="AB8" s="529"/>
      <c r="AC8" s="529"/>
      <c r="AD8" s="529"/>
      <c r="AE8" s="529"/>
      <c r="AF8" s="560" t="s">
        <v>95</v>
      </c>
      <c r="AG8" s="560"/>
      <c r="AH8" s="560"/>
      <c r="AI8" s="560"/>
      <c r="AJ8" s="529"/>
      <c r="AK8" s="529"/>
      <c r="AL8" s="529"/>
      <c r="AM8" s="529"/>
      <c r="AN8" s="529"/>
      <c r="AO8" s="529"/>
      <c r="AP8" s="529"/>
      <c r="AQ8" s="529"/>
      <c r="AR8" s="529"/>
      <c r="AS8" s="529"/>
      <c r="AT8" s="529"/>
      <c r="AU8" s="529"/>
      <c r="AV8" s="529"/>
      <c r="AW8" s="529"/>
      <c r="AX8" s="530"/>
    </row>
    <row r="9" spans="1:50" x14ac:dyDescent="0.25">
      <c r="A9" s="559" t="s">
        <v>920</v>
      </c>
      <c r="B9" s="560"/>
      <c r="C9" s="560"/>
      <c r="D9" s="560"/>
      <c r="E9" s="529"/>
      <c r="F9" s="529"/>
      <c r="G9" s="560" t="s">
        <v>97</v>
      </c>
      <c r="H9" s="560"/>
      <c r="I9" s="560"/>
      <c r="J9" s="560"/>
      <c r="K9" s="529"/>
      <c r="L9" s="529"/>
      <c r="M9" s="529"/>
      <c r="N9" s="529"/>
      <c r="O9" s="529"/>
      <c r="P9" s="529"/>
      <c r="Q9" s="529"/>
      <c r="R9" s="529"/>
      <c r="S9" s="529"/>
      <c r="T9" s="529"/>
      <c r="U9" s="529"/>
      <c r="V9" s="529"/>
      <c r="W9" s="529"/>
      <c r="X9" s="529"/>
      <c r="Y9" s="530"/>
      <c r="Z9" s="559" t="s">
        <v>920</v>
      </c>
      <c r="AA9" s="560"/>
      <c r="AB9" s="560"/>
      <c r="AC9" s="560"/>
      <c r="AD9" s="529"/>
      <c r="AE9" s="529"/>
      <c r="AF9" s="560" t="s">
        <v>97</v>
      </c>
      <c r="AG9" s="560"/>
      <c r="AH9" s="560"/>
      <c r="AI9" s="560"/>
      <c r="AJ9" s="529"/>
      <c r="AK9" s="529"/>
      <c r="AL9" s="529"/>
      <c r="AM9" s="529"/>
      <c r="AN9" s="529"/>
      <c r="AO9" s="529"/>
      <c r="AP9" s="529"/>
      <c r="AQ9" s="529"/>
      <c r="AR9" s="529"/>
      <c r="AS9" s="529"/>
      <c r="AT9" s="529"/>
      <c r="AU9" s="529"/>
      <c r="AV9" s="529"/>
      <c r="AW9" s="529"/>
      <c r="AX9" s="530"/>
    </row>
    <row r="10" spans="1:50" x14ac:dyDescent="0.25">
      <c r="A10" s="559" t="s">
        <v>60</v>
      </c>
      <c r="B10" s="560"/>
      <c r="C10" s="560"/>
      <c r="D10" s="560"/>
      <c r="E10" s="529"/>
      <c r="F10" s="529"/>
      <c r="G10" s="560" t="s">
        <v>921</v>
      </c>
      <c r="H10" s="560"/>
      <c r="I10" s="560"/>
      <c r="J10" s="560"/>
      <c r="K10" s="529"/>
      <c r="L10" s="529"/>
      <c r="M10" s="560" t="s">
        <v>766</v>
      </c>
      <c r="N10" s="560"/>
      <c r="O10" s="560"/>
      <c r="P10" s="560"/>
      <c r="Q10" s="564"/>
      <c r="R10" s="529"/>
      <c r="S10" s="529"/>
      <c r="T10" s="529"/>
      <c r="U10" s="529"/>
      <c r="V10" s="529"/>
      <c r="W10" s="529"/>
      <c r="X10" s="529"/>
      <c r="Y10" s="530"/>
      <c r="Z10" s="559" t="s">
        <v>60</v>
      </c>
      <c r="AA10" s="560"/>
      <c r="AB10" s="560"/>
      <c r="AC10" s="560"/>
      <c r="AD10" s="529"/>
      <c r="AE10" s="529"/>
      <c r="AF10" s="560" t="s">
        <v>921</v>
      </c>
      <c r="AG10" s="560"/>
      <c r="AH10" s="560"/>
      <c r="AI10" s="560"/>
      <c r="AJ10" s="529"/>
      <c r="AK10" s="529"/>
      <c r="AL10" s="560" t="s">
        <v>766</v>
      </c>
      <c r="AM10" s="560"/>
      <c r="AN10" s="560"/>
      <c r="AO10" s="560"/>
      <c r="AP10" s="564"/>
      <c r="AQ10" s="529"/>
      <c r="AR10" s="529"/>
      <c r="AS10" s="529"/>
      <c r="AT10" s="529"/>
      <c r="AU10" s="529"/>
      <c r="AV10" s="529"/>
      <c r="AW10" s="529"/>
      <c r="AX10" s="530"/>
    </row>
    <row r="11" spans="1:50" x14ac:dyDescent="0.25">
      <c r="A11" s="559" t="s">
        <v>923</v>
      </c>
      <c r="B11" s="560"/>
      <c r="C11" s="560"/>
      <c r="D11" s="560"/>
      <c r="E11" s="560"/>
      <c r="F11" s="560"/>
      <c r="G11" s="560"/>
      <c r="H11" s="560"/>
      <c r="I11" s="560"/>
      <c r="J11" s="560"/>
      <c r="K11" s="560"/>
      <c r="L11" s="560"/>
      <c r="M11" s="560" t="s">
        <v>124</v>
      </c>
      <c r="N11" s="560"/>
      <c r="O11" s="560"/>
      <c r="P11" s="560" t="s">
        <v>125</v>
      </c>
      <c r="Q11" s="560"/>
      <c r="R11" s="560"/>
      <c r="S11" s="560" t="s">
        <v>924</v>
      </c>
      <c r="T11" s="560"/>
      <c r="U11" s="560"/>
      <c r="V11" s="560" t="s">
        <v>131</v>
      </c>
      <c r="W11" s="560"/>
      <c r="X11" s="560" t="s">
        <v>128</v>
      </c>
      <c r="Y11" s="561"/>
      <c r="Z11" s="559" t="s">
        <v>923</v>
      </c>
      <c r="AA11" s="560"/>
      <c r="AB11" s="560"/>
      <c r="AC11" s="560"/>
      <c r="AD11" s="560"/>
      <c r="AE11" s="560"/>
      <c r="AF11" s="560"/>
      <c r="AG11" s="560"/>
      <c r="AH11" s="560"/>
      <c r="AI11" s="560"/>
      <c r="AJ11" s="560"/>
      <c r="AK11" s="560"/>
      <c r="AL11" s="560" t="s">
        <v>124</v>
      </c>
      <c r="AM11" s="560"/>
      <c r="AN11" s="560"/>
      <c r="AO11" s="560" t="s">
        <v>125</v>
      </c>
      <c r="AP11" s="560"/>
      <c r="AQ11" s="560"/>
      <c r="AR11" s="560" t="s">
        <v>924</v>
      </c>
      <c r="AS11" s="560"/>
      <c r="AT11" s="560"/>
      <c r="AU11" s="560" t="s">
        <v>131</v>
      </c>
      <c r="AV11" s="560"/>
      <c r="AW11" s="560" t="s">
        <v>128</v>
      </c>
      <c r="AX11" s="561"/>
    </row>
    <row r="12" spans="1:50" x14ac:dyDescent="0.25">
      <c r="A12" s="562"/>
      <c r="B12" s="529"/>
      <c r="C12" s="529"/>
      <c r="D12" s="529"/>
      <c r="E12" s="529"/>
      <c r="F12" s="529"/>
      <c r="G12" s="529"/>
      <c r="H12" s="529"/>
      <c r="I12" s="529"/>
      <c r="J12" s="529"/>
      <c r="K12" s="529"/>
      <c r="L12" s="529"/>
      <c r="M12" s="529"/>
      <c r="N12" s="529"/>
      <c r="O12" s="529"/>
      <c r="P12" s="529"/>
      <c r="Q12" s="529"/>
      <c r="R12" s="529"/>
      <c r="S12" s="564"/>
      <c r="T12" s="529"/>
      <c r="U12" s="529"/>
      <c r="V12" s="529"/>
      <c r="W12" s="529"/>
      <c r="X12" s="564"/>
      <c r="Y12" s="530"/>
      <c r="Z12" s="562"/>
      <c r="AA12" s="529"/>
      <c r="AB12" s="529"/>
      <c r="AC12" s="529"/>
      <c r="AD12" s="529"/>
      <c r="AE12" s="529"/>
      <c r="AF12" s="529"/>
      <c r="AG12" s="529"/>
      <c r="AH12" s="529"/>
      <c r="AI12" s="529"/>
      <c r="AJ12" s="529"/>
      <c r="AK12" s="529"/>
      <c r="AL12" s="529"/>
      <c r="AM12" s="529"/>
      <c r="AN12" s="529"/>
      <c r="AO12" s="529"/>
      <c r="AP12" s="529"/>
      <c r="AQ12" s="529"/>
      <c r="AR12" s="564"/>
      <c r="AS12" s="529"/>
      <c r="AT12" s="529"/>
      <c r="AU12" s="529"/>
      <c r="AV12" s="529"/>
      <c r="AW12" s="564"/>
      <c r="AX12" s="530"/>
    </row>
    <row r="13" spans="1:50" x14ac:dyDescent="0.25">
      <c r="A13" s="562"/>
      <c r="B13" s="529"/>
      <c r="C13" s="529"/>
      <c r="D13" s="529"/>
      <c r="E13" s="529"/>
      <c r="F13" s="529"/>
      <c r="G13" s="529"/>
      <c r="H13" s="529"/>
      <c r="I13" s="529"/>
      <c r="J13" s="529"/>
      <c r="K13" s="529"/>
      <c r="L13" s="529"/>
      <c r="M13" s="529"/>
      <c r="N13" s="529"/>
      <c r="O13" s="529"/>
      <c r="P13" s="529"/>
      <c r="Q13" s="529"/>
      <c r="R13" s="529"/>
      <c r="S13" s="564"/>
      <c r="T13" s="529"/>
      <c r="U13" s="529"/>
      <c r="V13" s="529"/>
      <c r="W13" s="529"/>
      <c r="X13" s="564"/>
      <c r="Y13" s="530"/>
      <c r="Z13" s="562"/>
      <c r="AA13" s="529"/>
      <c r="AB13" s="529"/>
      <c r="AC13" s="529"/>
      <c r="AD13" s="529"/>
      <c r="AE13" s="529"/>
      <c r="AF13" s="529"/>
      <c r="AG13" s="529"/>
      <c r="AH13" s="529"/>
      <c r="AI13" s="529"/>
      <c r="AJ13" s="529"/>
      <c r="AK13" s="529"/>
      <c r="AL13" s="529"/>
      <c r="AM13" s="529"/>
      <c r="AN13" s="529"/>
      <c r="AO13" s="529"/>
      <c r="AP13" s="529"/>
      <c r="AQ13" s="529"/>
      <c r="AR13" s="564"/>
      <c r="AS13" s="529"/>
      <c r="AT13" s="529"/>
      <c r="AU13" s="529"/>
      <c r="AV13" s="529"/>
      <c r="AW13" s="564"/>
      <c r="AX13" s="530"/>
    </row>
    <row r="14" spans="1:50" x14ac:dyDescent="0.25">
      <c r="A14" s="562"/>
      <c r="B14" s="529"/>
      <c r="C14" s="529"/>
      <c r="D14" s="529"/>
      <c r="E14" s="529"/>
      <c r="F14" s="529"/>
      <c r="G14" s="529"/>
      <c r="H14" s="529"/>
      <c r="I14" s="529"/>
      <c r="J14" s="529"/>
      <c r="K14" s="529"/>
      <c r="L14" s="529"/>
      <c r="M14" s="529"/>
      <c r="N14" s="529"/>
      <c r="O14" s="529"/>
      <c r="P14" s="529"/>
      <c r="Q14" s="529"/>
      <c r="R14" s="529"/>
      <c r="S14" s="529"/>
      <c r="T14" s="529"/>
      <c r="U14" s="529"/>
      <c r="V14" s="529"/>
      <c r="W14" s="529"/>
      <c r="X14" s="529"/>
      <c r="Y14" s="530"/>
      <c r="Z14" s="562"/>
      <c r="AA14" s="529"/>
      <c r="AB14" s="529"/>
      <c r="AC14" s="529"/>
      <c r="AD14" s="529"/>
      <c r="AE14" s="529"/>
      <c r="AF14" s="529"/>
      <c r="AG14" s="529"/>
      <c r="AH14" s="529"/>
      <c r="AI14" s="529"/>
      <c r="AJ14" s="529"/>
      <c r="AK14" s="529"/>
      <c r="AL14" s="529"/>
      <c r="AM14" s="529"/>
      <c r="AN14" s="529"/>
      <c r="AO14" s="529"/>
      <c r="AP14" s="529"/>
      <c r="AQ14" s="529"/>
      <c r="AR14" s="529"/>
      <c r="AS14" s="529"/>
      <c r="AT14" s="529"/>
      <c r="AU14" s="529"/>
      <c r="AV14" s="529"/>
      <c r="AW14" s="529"/>
      <c r="AX14" s="530"/>
    </row>
    <row r="15" spans="1:50" x14ac:dyDescent="0.25">
      <c r="A15" s="562"/>
      <c r="B15" s="529"/>
      <c r="C15" s="529"/>
      <c r="D15" s="529"/>
      <c r="E15" s="529"/>
      <c r="F15" s="529"/>
      <c r="G15" s="529"/>
      <c r="H15" s="529"/>
      <c r="I15" s="529"/>
      <c r="J15" s="529"/>
      <c r="K15" s="529"/>
      <c r="L15" s="529"/>
      <c r="M15" s="529"/>
      <c r="N15" s="529"/>
      <c r="O15" s="529"/>
      <c r="P15" s="529"/>
      <c r="Q15" s="529"/>
      <c r="R15" s="529"/>
      <c r="S15" s="529"/>
      <c r="T15" s="529"/>
      <c r="U15" s="529"/>
      <c r="V15" s="529"/>
      <c r="W15" s="529"/>
      <c r="X15" s="529"/>
      <c r="Y15" s="530"/>
      <c r="Z15" s="562"/>
      <c r="AA15" s="529"/>
      <c r="AB15" s="529"/>
      <c r="AC15" s="529"/>
      <c r="AD15" s="529"/>
      <c r="AE15" s="529"/>
      <c r="AF15" s="529"/>
      <c r="AG15" s="529"/>
      <c r="AH15" s="529"/>
      <c r="AI15" s="529"/>
      <c r="AJ15" s="529"/>
      <c r="AK15" s="529"/>
      <c r="AL15" s="529"/>
      <c r="AM15" s="529"/>
      <c r="AN15" s="529"/>
      <c r="AO15" s="529"/>
      <c r="AP15" s="529"/>
      <c r="AQ15" s="529"/>
      <c r="AR15" s="529"/>
      <c r="AS15" s="529"/>
      <c r="AT15" s="529"/>
      <c r="AU15" s="529"/>
      <c r="AV15" s="529"/>
      <c r="AW15" s="529"/>
      <c r="AX15" s="530"/>
    </row>
    <row r="16" spans="1:50" x14ac:dyDescent="0.25">
      <c r="A16" s="562"/>
      <c r="B16" s="529"/>
      <c r="C16" s="529"/>
      <c r="D16" s="529"/>
      <c r="E16" s="529"/>
      <c r="F16" s="529"/>
      <c r="G16" s="529"/>
      <c r="H16" s="529"/>
      <c r="I16" s="529"/>
      <c r="J16" s="529"/>
      <c r="K16" s="529"/>
      <c r="L16" s="529"/>
      <c r="M16" s="529"/>
      <c r="N16" s="529"/>
      <c r="O16" s="529"/>
      <c r="P16" s="529"/>
      <c r="Q16" s="529"/>
      <c r="R16" s="529"/>
      <c r="S16" s="529"/>
      <c r="T16" s="529"/>
      <c r="U16" s="529"/>
      <c r="V16" s="529"/>
      <c r="W16" s="529"/>
      <c r="X16" s="529"/>
      <c r="Y16" s="530"/>
      <c r="Z16" s="562"/>
      <c r="AA16" s="529"/>
      <c r="AB16" s="529"/>
      <c r="AC16" s="529"/>
      <c r="AD16" s="529"/>
      <c r="AE16" s="529"/>
      <c r="AF16" s="529"/>
      <c r="AG16" s="529"/>
      <c r="AH16" s="529"/>
      <c r="AI16" s="529"/>
      <c r="AJ16" s="529"/>
      <c r="AK16" s="529"/>
      <c r="AL16" s="529"/>
      <c r="AM16" s="529"/>
      <c r="AN16" s="529"/>
      <c r="AO16" s="529"/>
      <c r="AP16" s="529"/>
      <c r="AQ16" s="529"/>
      <c r="AR16" s="529"/>
      <c r="AS16" s="529"/>
      <c r="AT16" s="529"/>
      <c r="AU16" s="529"/>
      <c r="AV16" s="529"/>
      <c r="AW16" s="529"/>
      <c r="AX16" s="530"/>
    </row>
    <row r="17" spans="1:50" x14ac:dyDescent="0.25">
      <c r="A17" s="562"/>
      <c r="B17" s="529"/>
      <c r="C17" s="529"/>
      <c r="D17" s="529"/>
      <c r="E17" s="529"/>
      <c r="F17" s="529"/>
      <c r="G17" s="529"/>
      <c r="H17" s="529"/>
      <c r="I17" s="529"/>
      <c r="J17" s="529"/>
      <c r="K17" s="529"/>
      <c r="L17" s="529"/>
      <c r="M17" s="529"/>
      <c r="N17" s="529"/>
      <c r="O17" s="529"/>
      <c r="P17" s="529"/>
      <c r="Q17" s="529"/>
      <c r="R17" s="529"/>
      <c r="S17" s="529"/>
      <c r="T17" s="529"/>
      <c r="U17" s="529"/>
      <c r="V17" s="529"/>
      <c r="W17" s="529"/>
      <c r="X17" s="529"/>
      <c r="Y17" s="530"/>
      <c r="Z17" s="562"/>
      <c r="AA17" s="529"/>
      <c r="AB17" s="529"/>
      <c r="AC17" s="529"/>
      <c r="AD17" s="529"/>
      <c r="AE17" s="529"/>
      <c r="AF17" s="529"/>
      <c r="AG17" s="529"/>
      <c r="AH17" s="529"/>
      <c r="AI17" s="529"/>
      <c r="AJ17" s="529"/>
      <c r="AK17" s="529"/>
      <c r="AL17" s="529"/>
      <c r="AM17" s="529"/>
      <c r="AN17" s="529"/>
      <c r="AO17" s="529"/>
      <c r="AP17" s="529"/>
      <c r="AQ17" s="529"/>
      <c r="AR17" s="529"/>
      <c r="AS17" s="529"/>
      <c r="AT17" s="529"/>
      <c r="AU17" s="529"/>
      <c r="AV17" s="529"/>
      <c r="AW17" s="529"/>
      <c r="AX17" s="530"/>
    </row>
    <row r="18" spans="1:50" x14ac:dyDescent="0.25">
      <c r="A18" s="562"/>
      <c r="B18" s="529"/>
      <c r="C18" s="529"/>
      <c r="D18" s="529"/>
      <c r="E18" s="529"/>
      <c r="F18" s="529"/>
      <c r="G18" s="529"/>
      <c r="H18" s="529"/>
      <c r="I18" s="529"/>
      <c r="J18" s="529"/>
      <c r="K18" s="529"/>
      <c r="L18" s="529"/>
      <c r="M18" s="529"/>
      <c r="N18" s="529"/>
      <c r="O18" s="529"/>
      <c r="P18" s="529"/>
      <c r="Q18" s="529"/>
      <c r="R18" s="529"/>
      <c r="S18" s="529"/>
      <c r="T18" s="529"/>
      <c r="U18" s="529"/>
      <c r="V18" s="529"/>
      <c r="W18" s="529"/>
      <c r="X18" s="529"/>
      <c r="Y18" s="530"/>
      <c r="Z18" s="562"/>
      <c r="AA18" s="529"/>
      <c r="AB18" s="529"/>
      <c r="AC18" s="529"/>
      <c r="AD18" s="529"/>
      <c r="AE18" s="529"/>
      <c r="AF18" s="529"/>
      <c r="AG18" s="529"/>
      <c r="AH18" s="529"/>
      <c r="AI18" s="529"/>
      <c r="AJ18" s="529"/>
      <c r="AK18" s="529"/>
      <c r="AL18" s="529"/>
      <c r="AM18" s="529"/>
      <c r="AN18" s="529"/>
      <c r="AO18" s="529"/>
      <c r="AP18" s="529"/>
      <c r="AQ18" s="529"/>
      <c r="AR18" s="529"/>
      <c r="AS18" s="529"/>
      <c r="AT18" s="529"/>
      <c r="AU18" s="529"/>
      <c r="AV18" s="529"/>
      <c r="AW18" s="529"/>
      <c r="AX18" s="530"/>
    </row>
    <row r="19" spans="1:50" x14ac:dyDescent="0.25">
      <c r="A19" s="559" t="s">
        <v>925</v>
      </c>
      <c r="B19" s="560"/>
      <c r="C19" s="560"/>
      <c r="D19" s="560"/>
      <c r="E19" s="560"/>
      <c r="F19" s="560"/>
      <c r="G19" s="560"/>
      <c r="H19" s="560"/>
      <c r="I19" s="560"/>
      <c r="J19" s="560"/>
      <c r="K19" s="560"/>
      <c r="L19" s="560"/>
      <c r="M19" s="560"/>
      <c r="N19" s="560"/>
      <c r="O19" s="560"/>
      <c r="P19" s="560" t="s">
        <v>926</v>
      </c>
      <c r="Q19" s="560"/>
      <c r="R19" s="560"/>
      <c r="S19" s="560"/>
      <c r="T19" s="560"/>
      <c r="U19" s="560"/>
      <c r="V19" s="560"/>
      <c r="W19" s="560"/>
      <c r="X19" s="560"/>
      <c r="Y19" s="561"/>
      <c r="Z19" s="559" t="s">
        <v>925</v>
      </c>
      <c r="AA19" s="560"/>
      <c r="AB19" s="560"/>
      <c r="AC19" s="560"/>
      <c r="AD19" s="560"/>
      <c r="AE19" s="560"/>
      <c r="AF19" s="560"/>
      <c r="AG19" s="560"/>
      <c r="AH19" s="560"/>
      <c r="AI19" s="560"/>
      <c r="AJ19" s="560"/>
      <c r="AK19" s="560"/>
      <c r="AL19" s="560"/>
      <c r="AM19" s="560"/>
      <c r="AN19" s="560"/>
      <c r="AO19" s="560" t="s">
        <v>926</v>
      </c>
      <c r="AP19" s="560"/>
      <c r="AQ19" s="560"/>
      <c r="AR19" s="560"/>
      <c r="AS19" s="560"/>
      <c r="AT19" s="560"/>
      <c r="AU19" s="560"/>
      <c r="AV19" s="560"/>
      <c r="AW19" s="560"/>
      <c r="AX19" s="561"/>
    </row>
    <row r="20" spans="1:50" x14ac:dyDescent="0.25">
      <c r="A20" s="562"/>
      <c r="B20" s="529"/>
      <c r="C20" s="529"/>
      <c r="D20" s="529"/>
      <c r="E20" s="529"/>
      <c r="F20" s="529"/>
      <c r="G20" s="529"/>
      <c r="H20" s="529"/>
      <c r="I20" s="529"/>
      <c r="J20" s="529"/>
      <c r="K20" s="529"/>
      <c r="L20" s="529"/>
      <c r="M20" s="529"/>
      <c r="N20" s="529"/>
      <c r="O20" s="529"/>
      <c r="P20" s="529"/>
      <c r="Q20" s="529"/>
      <c r="R20" s="529"/>
      <c r="S20" s="529"/>
      <c r="T20" s="529"/>
      <c r="U20" s="529"/>
      <c r="V20" s="529"/>
      <c r="W20" s="529"/>
      <c r="X20" s="529"/>
      <c r="Y20" s="530"/>
      <c r="Z20" s="562"/>
      <c r="AA20" s="529"/>
      <c r="AB20" s="529"/>
      <c r="AC20" s="529"/>
      <c r="AD20" s="529"/>
      <c r="AE20" s="529"/>
      <c r="AF20" s="529"/>
      <c r="AG20" s="529"/>
      <c r="AH20" s="529"/>
      <c r="AI20" s="529"/>
      <c r="AJ20" s="529"/>
      <c r="AK20" s="529"/>
      <c r="AL20" s="529"/>
      <c r="AM20" s="529"/>
      <c r="AN20" s="529"/>
      <c r="AO20" s="529"/>
      <c r="AP20" s="529"/>
      <c r="AQ20" s="529"/>
      <c r="AR20" s="529"/>
      <c r="AS20" s="529"/>
      <c r="AT20" s="529"/>
      <c r="AU20" s="529"/>
      <c r="AV20" s="529"/>
      <c r="AW20" s="529"/>
      <c r="AX20" s="530"/>
    </row>
    <row r="21" spans="1:50" x14ac:dyDescent="0.25">
      <c r="A21" s="562"/>
      <c r="B21" s="529"/>
      <c r="C21" s="529"/>
      <c r="D21" s="529"/>
      <c r="E21" s="529"/>
      <c r="F21" s="529"/>
      <c r="G21" s="529"/>
      <c r="H21" s="529"/>
      <c r="I21" s="529"/>
      <c r="J21" s="529"/>
      <c r="K21" s="529"/>
      <c r="L21" s="529"/>
      <c r="M21" s="529"/>
      <c r="N21" s="529"/>
      <c r="O21" s="529"/>
      <c r="P21" s="529"/>
      <c r="Q21" s="529"/>
      <c r="R21" s="529"/>
      <c r="S21" s="529"/>
      <c r="T21" s="529"/>
      <c r="U21" s="529"/>
      <c r="V21" s="529"/>
      <c r="W21" s="529"/>
      <c r="X21" s="529"/>
      <c r="Y21" s="530"/>
      <c r="Z21" s="562"/>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row>
    <row r="22" spans="1:50" x14ac:dyDescent="0.25">
      <c r="A22" s="562"/>
      <c r="B22" s="529"/>
      <c r="C22" s="529"/>
      <c r="D22" s="529"/>
      <c r="E22" s="529"/>
      <c r="F22" s="529"/>
      <c r="G22" s="529"/>
      <c r="H22" s="529"/>
      <c r="I22" s="529"/>
      <c r="J22" s="529"/>
      <c r="K22" s="529"/>
      <c r="L22" s="529"/>
      <c r="M22" s="529"/>
      <c r="N22" s="529"/>
      <c r="O22" s="529"/>
      <c r="P22" s="529"/>
      <c r="Q22" s="529"/>
      <c r="R22" s="529"/>
      <c r="S22" s="529"/>
      <c r="T22" s="529"/>
      <c r="U22" s="529"/>
      <c r="V22" s="529"/>
      <c r="W22" s="529"/>
      <c r="X22" s="529"/>
      <c r="Y22" s="530"/>
      <c r="Z22" s="562"/>
      <c r="AA22" s="529"/>
      <c r="AB22" s="529"/>
      <c r="AC22" s="529"/>
      <c r="AD22" s="529"/>
      <c r="AE22" s="529"/>
      <c r="AF22" s="529"/>
      <c r="AG22" s="529"/>
      <c r="AH22" s="529"/>
      <c r="AI22" s="529"/>
      <c r="AJ22" s="529"/>
      <c r="AK22" s="529"/>
      <c r="AL22" s="529"/>
      <c r="AM22" s="529"/>
      <c r="AN22" s="529"/>
      <c r="AO22" s="529"/>
      <c r="AP22" s="529"/>
      <c r="AQ22" s="529"/>
      <c r="AR22" s="529"/>
      <c r="AS22" s="529"/>
      <c r="AT22" s="529"/>
      <c r="AU22" s="529"/>
      <c r="AV22" s="529"/>
      <c r="AW22" s="529"/>
      <c r="AX22" s="530"/>
    </row>
    <row r="23" spans="1:50" x14ac:dyDescent="0.25">
      <c r="A23" s="562"/>
      <c r="B23" s="529"/>
      <c r="C23" s="529"/>
      <c r="D23" s="529"/>
      <c r="E23" s="529"/>
      <c r="F23" s="529"/>
      <c r="G23" s="529"/>
      <c r="H23" s="529"/>
      <c r="I23" s="529"/>
      <c r="J23" s="529"/>
      <c r="K23" s="529"/>
      <c r="L23" s="529"/>
      <c r="M23" s="529"/>
      <c r="N23" s="529"/>
      <c r="O23" s="529"/>
      <c r="P23" s="529"/>
      <c r="Q23" s="529"/>
      <c r="R23" s="529"/>
      <c r="S23" s="529"/>
      <c r="T23" s="529"/>
      <c r="U23" s="529"/>
      <c r="V23" s="529"/>
      <c r="W23" s="529"/>
      <c r="X23" s="529"/>
      <c r="Y23" s="530"/>
      <c r="Z23" s="562"/>
      <c r="AA23" s="529"/>
      <c r="AB23" s="529"/>
      <c r="AC23" s="529"/>
      <c r="AD23" s="529"/>
      <c r="AE23" s="529"/>
      <c r="AF23" s="529"/>
      <c r="AG23" s="529"/>
      <c r="AH23" s="529"/>
      <c r="AI23" s="529"/>
      <c r="AJ23" s="529"/>
      <c r="AK23" s="529"/>
      <c r="AL23" s="529"/>
      <c r="AM23" s="529"/>
      <c r="AN23" s="529"/>
      <c r="AO23" s="529"/>
      <c r="AP23" s="529"/>
      <c r="AQ23" s="529"/>
      <c r="AR23" s="529"/>
      <c r="AS23" s="529"/>
      <c r="AT23" s="529"/>
      <c r="AU23" s="529"/>
      <c r="AV23" s="529"/>
      <c r="AW23" s="529"/>
      <c r="AX23" s="530"/>
    </row>
    <row r="24" spans="1:50" ht="15.75" thickBot="1" x14ac:dyDescent="0.3">
      <c r="A24" s="563"/>
      <c r="B24" s="531"/>
      <c r="C24" s="531"/>
      <c r="D24" s="531"/>
      <c r="E24" s="531"/>
      <c r="F24" s="531"/>
      <c r="G24" s="531"/>
      <c r="H24" s="531"/>
      <c r="I24" s="531"/>
      <c r="J24" s="531"/>
      <c r="K24" s="531"/>
      <c r="L24" s="531"/>
      <c r="M24" s="531"/>
      <c r="N24" s="531"/>
      <c r="O24" s="531"/>
      <c r="P24" s="531"/>
      <c r="Q24" s="531"/>
      <c r="R24" s="531"/>
      <c r="S24" s="531"/>
      <c r="T24" s="531"/>
      <c r="U24" s="531"/>
      <c r="V24" s="531"/>
      <c r="W24" s="531"/>
      <c r="X24" s="531"/>
      <c r="Y24" s="532"/>
      <c r="Z24" s="563"/>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2"/>
    </row>
    <row r="25" spans="1:50" x14ac:dyDescent="0.25">
      <c r="A25" s="565" t="s">
        <v>75</v>
      </c>
      <c r="B25" s="566"/>
      <c r="C25" s="566"/>
      <c r="D25" s="527"/>
      <c r="E25" s="527"/>
      <c r="F25" s="527"/>
      <c r="G25" s="527"/>
      <c r="H25" s="527"/>
      <c r="I25" s="527"/>
      <c r="J25" s="527"/>
      <c r="K25" s="527"/>
      <c r="L25" s="527"/>
      <c r="M25" s="527"/>
      <c r="N25" s="566" t="s">
        <v>911</v>
      </c>
      <c r="O25" s="566"/>
      <c r="P25" s="527"/>
      <c r="Q25" s="527"/>
      <c r="R25" s="566" t="s">
        <v>914</v>
      </c>
      <c r="S25" s="566"/>
      <c r="T25" s="527"/>
      <c r="U25" s="527"/>
      <c r="V25" s="566" t="s">
        <v>917</v>
      </c>
      <c r="W25" s="566"/>
      <c r="X25" s="527"/>
      <c r="Y25" s="528"/>
      <c r="Z25" s="565" t="s">
        <v>75</v>
      </c>
      <c r="AA25" s="566"/>
      <c r="AB25" s="566"/>
      <c r="AC25" s="527"/>
      <c r="AD25" s="527"/>
      <c r="AE25" s="527"/>
      <c r="AF25" s="527"/>
      <c r="AG25" s="527"/>
      <c r="AH25" s="527"/>
      <c r="AI25" s="527"/>
      <c r="AJ25" s="527"/>
      <c r="AK25" s="527"/>
      <c r="AL25" s="527"/>
      <c r="AM25" s="566" t="s">
        <v>911</v>
      </c>
      <c r="AN25" s="566"/>
      <c r="AO25" s="527"/>
      <c r="AP25" s="527"/>
      <c r="AQ25" s="566" t="s">
        <v>914</v>
      </c>
      <c r="AR25" s="566"/>
      <c r="AS25" s="527"/>
      <c r="AT25" s="527"/>
      <c r="AU25" s="566" t="s">
        <v>917</v>
      </c>
      <c r="AV25" s="566"/>
      <c r="AW25" s="527"/>
      <c r="AX25" s="528"/>
    </row>
    <row r="26" spans="1:50" x14ac:dyDescent="0.25">
      <c r="A26" s="559" t="s">
        <v>0</v>
      </c>
      <c r="B26" s="560"/>
      <c r="C26" s="560"/>
      <c r="D26" s="529"/>
      <c r="E26" s="529"/>
      <c r="F26" s="529"/>
      <c r="G26" s="529"/>
      <c r="H26" s="529"/>
      <c r="I26" s="529"/>
      <c r="J26" s="529"/>
      <c r="K26" s="529"/>
      <c r="L26" s="529"/>
      <c r="M26" s="529"/>
      <c r="N26" s="560" t="s">
        <v>912</v>
      </c>
      <c r="O26" s="560" t="s">
        <v>912</v>
      </c>
      <c r="P26" s="529"/>
      <c r="Q26" s="529"/>
      <c r="R26" s="560" t="s">
        <v>915</v>
      </c>
      <c r="S26" s="560"/>
      <c r="T26" s="529"/>
      <c r="U26" s="529"/>
      <c r="V26" s="560" t="s">
        <v>918</v>
      </c>
      <c r="W26" s="560"/>
      <c r="X26" s="529"/>
      <c r="Y26" s="530"/>
      <c r="Z26" s="559" t="s">
        <v>0</v>
      </c>
      <c r="AA26" s="560"/>
      <c r="AB26" s="560"/>
      <c r="AC26" s="529"/>
      <c r="AD26" s="529"/>
      <c r="AE26" s="529"/>
      <c r="AF26" s="529"/>
      <c r="AG26" s="529"/>
      <c r="AH26" s="529"/>
      <c r="AI26" s="529"/>
      <c r="AJ26" s="529"/>
      <c r="AK26" s="529"/>
      <c r="AL26" s="529"/>
      <c r="AM26" s="560" t="s">
        <v>912</v>
      </c>
      <c r="AN26" s="560" t="s">
        <v>912</v>
      </c>
      <c r="AO26" s="529"/>
      <c r="AP26" s="529"/>
      <c r="AQ26" s="560" t="s">
        <v>915</v>
      </c>
      <c r="AR26" s="560"/>
      <c r="AS26" s="529"/>
      <c r="AT26" s="529"/>
      <c r="AU26" s="560" t="s">
        <v>918</v>
      </c>
      <c r="AV26" s="560"/>
      <c r="AW26" s="529"/>
      <c r="AX26" s="530"/>
    </row>
    <row r="27" spans="1:50" x14ac:dyDescent="0.25">
      <c r="A27" s="559" t="s">
        <v>77</v>
      </c>
      <c r="B27" s="560"/>
      <c r="C27" s="560"/>
      <c r="D27" s="529"/>
      <c r="E27" s="529"/>
      <c r="F27" s="529"/>
      <c r="G27" s="529"/>
      <c r="H27" s="529"/>
      <c r="I27" s="529"/>
      <c r="J27" s="529"/>
      <c r="K27" s="529"/>
      <c r="L27" s="529"/>
      <c r="M27" s="529"/>
      <c r="N27" s="560" t="s">
        <v>913</v>
      </c>
      <c r="O27" s="560"/>
      <c r="P27" s="529"/>
      <c r="Q27" s="529"/>
      <c r="R27" s="560" t="s">
        <v>916</v>
      </c>
      <c r="S27" s="560"/>
      <c r="T27" s="529"/>
      <c r="U27" s="529"/>
      <c r="V27" s="560" t="s">
        <v>919</v>
      </c>
      <c r="W27" s="560"/>
      <c r="X27" s="529"/>
      <c r="Y27" s="530"/>
      <c r="Z27" s="559" t="s">
        <v>77</v>
      </c>
      <c r="AA27" s="560"/>
      <c r="AB27" s="560"/>
      <c r="AC27" s="529"/>
      <c r="AD27" s="529"/>
      <c r="AE27" s="529"/>
      <c r="AF27" s="529"/>
      <c r="AG27" s="529"/>
      <c r="AH27" s="529"/>
      <c r="AI27" s="529"/>
      <c r="AJ27" s="529"/>
      <c r="AK27" s="529"/>
      <c r="AL27" s="529"/>
      <c r="AM27" s="560" t="s">
        <v>913</v>
      </c>
      <c r="AN27" s="560"/>
      <c r="AO27" s="529"/>
      <c r="AP27" s="529"/>
      <c r="AQ27" s="560" t="s">
        <v>916</v>
      </c>
      <c r="AR27" s="560"/>
      <c r="AS27" s="529"/>
      <c r="AT27" s="529"/>
      <c r="AU27" s="560" t="s">
        <v>919</v>
      </c>
      <c r="AV27" s="560"/>
      <c r="AW27" s="529"/>
      <c r="AX27" s="530"/>
    </row>
    <row r="28" spans="1:50" x14ac:dyDescent="0.25">
      <c r="A28" s="559" t="s">
        <v>31</v>
      </c>
      <c r="B28" s="560"/>
      <c r="C28" s="560"/>
      <c r="D28" s="560"/>
      <c r="E28" s="529"/>
      <c r="F28" s="529"/>
      <c r="G28" s="560" t="s">
        <v>922</v>
      </c>
      <c r="H28" s="560"/>
      <c r="I28" s="560"/>
      <c r="J28" s="560"/>
      <c r="K28" s="560"/>
      <c r="L28" s="560"/>
      <c r="M28" s="560" t="s">
        <v>69</v>
      </c>
      <c r="N28" s="560"/>
      <c r="O28" s="560"/>
      <c r="P28" s="560"/>
      <c r="Q28" s="560"/>
      <c r="R28" s="560"/>
      <c r="S28" s="560"/>
      <c r="T28" s="560"/>
      <c r="U28" s="560"/>
      <c r="V28" s="560"/>
      <c r="W28" s="560"/>
      <c r="X28" s="560"/>
      <c r="Y28" s="561"/>
      <c r="Z28" s="559" t="s">
        <v>31</v>
      </c>
      <c r="AA28" s="560"/>
      <c r="AB28" s="560"/>
      <c r="AC28" s="560"/>
      <c r="AD28" s="529"/>
      <c r="AE28" s="529"/>
      <c r="AF28" s="560" t="s">
        <v>922</v>
      </c>
      <c r="AG28" s="560"/>
      <c r="AH28" s="560"/>
      <c r="AI28" s="560"/>
      <c r="AJ28" s="560"/>
      <c r="AK28" s="560"/>
      <c r="AL28" s="560" t="s">
        <v>69</v>
      </c>
      <c r="AM28" s="560"/>
      <c r="AN28" s="560"/>
      <c r="AO28" s="560"/>
      <c r="AP28" s="560"/>
      <c r="AQ28" s="560"/>
      <c r="AR28" s="560"/>
      <c r="AS28" s="560"/>
      <c r="AT28" s="560"/>
      <c r="AU28" s="560"/>
      <c r="AV28" s="560"/>
      <c r="AW28" s="560"/>
      <c r="AX28" s="561"/>
    </row>
    <row r="29" spans="1:50" x14ac:dyDescent="0.25">
      <c r="A29" s="562"/>
      <c r="B29" s="529"/>
      <c r="C29" s="529"/>
      <c r="D29" s="529"/>
      <c r="E29" s="529"/>
      <c r="F29" s="529"/>
      <c r="G29" s="560" t="s">
        <v>89</v>
      </c>
      <c r="H29" s="560"/>
      <c r="I29" s="560"/>
      <c r="J29" s="560"/>
      <c r="K29" s="529"/>
      <c r="L29" s="529"/>
      <c r="M29" s="529"/>
      <c r="N29" s="529"/>
      <c r="O29" s="529"/>
      <c r="P29" s="529"/>
      <c r="Q29" s="529"/>
      <c r="R29" s="529"/>
      <c r="S29" s="529"/>
      <c r="T29" s="529"/>
      <c r="U29" s="529"/>
      <c r="V29" s="529"/>
      <c r="W29" s="529"/>
      <c r="X29" s="529"/>
      <c r="Y29" s="530"/>
      <c r="Z29" s="562"/>
      <c r="AA29" s="529"/>
      <c r="AB29" s="529"/>
      <c r="AC29" s="529"/>
      <c r="AD29" s="529"/>
      <c r="AE29" s="529"/>
      <c r="AF29" s="560" t="s">
        <v>89</v>
      </c>
      <c r="AG29" s="560"/>
      <c r="AH29" s="560"/>
      <c r="AI29" s="560"/>
      <c r="AJ29" s="529"/>
      <c r="AK29" s="529"/>
      <c r="AL29" s="529"/>
      <c r="AM29" s="529"/>
      <c r="AN29" s="529"/>
      <c r="AO29" s="529"/>
      <c r="AP29" s="529"/>
      <c r="AQ29" s="529"/>
      <c r="AR29" s="529"/>
      <c r="AS29" s="529"/>
      <c r="AT29" s="529"/>
      <c r="AU29" s="529"/>
      <c r="AV29" s="529"/>
      <c r="AW29" s="529"/>
      <c r="AX29" s="530"/>
    </row>
    <row r="30" spans="1:50" x14ac:dyDescent="0.25">
      <c r="A30" s="562"/>
      <c r="B30" s="529"/>
      <c r="C30" s="529"/>
      <c r="D30" s="529"/>
      <c r="E30" s="529"/>
      <c r="F30" s="529"/>
      <c r="G30" s="560" t="s">
        <v>90</v>
      </c>
      <c r="H30" s="560"/>
      <c r="I30" s="560"/>
      <c r="J30" s="560"/>
      <c r="K30" s="529"/>
      <c r="L30" s="529"/>
      <c r="M30" s="529"/>
      <c r="N30" s="529"/>
      <c r="O30" s="529"/>
      <c r="P30" s="529"/>
      <c r="Q30" s="529"/>
      <c r="R30" s="529"/>
      <c r="S30" s="529"/>
      <c r="T30" s="529"/>
      <c r="U30" s="529"/>
      <c r="V30" s="529"/>
      <c r="W30" s="529"/>
      <c r="X30" s="529"/>
      <c r="Y30" s="530"/>
      <c r="Z30" s="562"/>
      <c r="AA30" s="529"/>
      <c r="AB30" s="529"/>
      <c r="AC30" s="529"/>
      <c r="AD30" s="529"/>
      <c r="AE30" s="529"/>
      <c r="AF30" s="560" t="s">
        <v>90</v>
      </c>
      <c r="AG30" s="560"/>
      <c r="AH30" s="560"/>
      <c r="AI30" s="560"/>
      <c r="AJ30" s="529"/>
      <c r="AK30" s="529"/>
      <c r="AL30" s="529"/>
      <c r="AM30" s="529"/>
      <c r="AN30" s="529"/>
      <c r="AO30" s="529"/>
      <c r="AP30" s="529"/>
      <c r="AQ30" s="529"/>
      <c r="AR30" s="529"/>
      <c r="AS30" s="529"/>
      <c r="AT30" s="529"/>
      <c r="AU30" s="529"/>
      <c r="AV30" s="529"/>
      <c r="AW30" s="529"/>
      <c r="AX30" s="530"/>
    </row>
    <row r="31" spans="1:50" x14ac:dyDescent="0.25">
      <c r="A31" s="562"/>
      <c r="B31" s="529"/>
      <c r="C31" s="529"/>
      <c r="D31" s="529"/>
      <c r="E31" s="529"/>
      <c r="F31" s="529"/>
      <c r="G31" s="560" t="s">
        <v>91</v>
      </c>
      <c r="H31" s="560"/>
      <c r="I31" s="560"/>
      <c r="J31" s="560"/>
      <c r="K31" s="529"/>
      <c r="L31" s="529"/>
      <c r="M31" s="529"/>
      <c r="N31" s="529"/>
      <c r="O31" s="529"/>
      <c r="P31" s="529"/>
      <c r="Q31" s="529"/>
      <c r="R31" s="529"/>
      <c r="S31" s="529"/>
      <c r="T31" s="529"/>
      <c r="U31" s="529"/>
      <c r="V31" s="529"/>
      <c r="W31" s="529"/>
      <c r="X31" s="529"/>
      <c r="Y31" s="530"/>
      <c r="Z31" s="562"/>
      <c r="AA31" s="529"/>
      <c r="AB31" s="529"/>
      <c r="AC31" s="529"/>
      <c r="AD31" s="529"/>
      <c r="AE31" s="529"/>
      <c r="AF31" s="560" t="s">
        <v>91</v>
      </c>
      <c r="AG31" s="560"/>
      <c r="AH31" s="560"/>
      <c r="AI31" s="560"/>
      <c r="AJ31" s="529"/>
      <c r="AK31" s="529"/>
      <c r="AL31" s="529"/>
      <c r="AM31" s="529"/>
      <c r="AN31" s="529"/>
      <c r="AO31" s="529"/>
      <c r="AP31" s="529"/>
      <c r="AQ31" s="529"/>
      <c r="AR31" s="529"/>
      <c r="AS31" s="529"/>
      <c r="AT31" s="529"/>
      <c r="AU31" s="529"/>
      <c r="AV31" s="529"/>
      <c r="AW31" s="529"/>
      <c r="AX31" s="530"/>
    </row>
    <row r="32" spans="1:50" x14ac:dyDescent="0.25">
      <c r="A32" s="562"/>
      <c r="B32" s="529"/>
      <c r="C32" s="529"/>
      <c r="D32" s="529"/>
      <c r="E32" s="529"/>
      <c r="F32" s="529"/>
      <c r="G32" s="560" t="s">
        <v>95</v>
      </c>
      <c r="H32" s="560"/>
      <c r="I32" s="560"/>
      <c r="J32" s="560"/>
      <c r="K32" s="529"/>
      <c r="L32" s="529"/>
      <c r="M32" s="529"/>
      <c r="N32" s="529"/>
      <c r="O32" s="529"/>
      <c r="P32" s="529"/>
      <c r="Q32" s="529"/>
      <c r="R32" s="529"/>
      <c r="S32" s="529"/>
      <c r="T32" s="529"/>
      <c r="U32" s="529"/>
      <c r="V32" s="529"/>
      <c r="W32" s="529"/>
      <c r="X32" s="529"/>
      <c r="Y32" s="530"/>
      <c r="Z32" s="562"/>
      <c r="AA32" s="529"/>
      <c r="AB32" s="529"/>
      <c r="AC32" s="529"/>
      <c r="AD32" s="529"/>
      <c r="AE32" s="529"/>
      <c r="AF32" s="560" t="s">
        <v>95</v>
      </c>
      <c r="AG32" s="560"/>
      <c r="AH32" s="560"/>
      <c r="AI32" s="560"/>
      <c r="AJ32" s="529"/>
      <c r="AK32" s="529"/>
      <c r="AL32" s="529"/>
      <c r="AM32" s="529"/>
      <c r="AN32" s="529"/>
      <c r="AO32" s="529"/>
      <c r="AP32" s="529"/>
      <c r="AQ32" s="529"/>
      <c r="AR32" s="529"/>
      <c r="AS32" s="529"/>
      <c r="AT32" s="529"/>
      <c r="AU32" s="529"/>
      <c r="AV32" s="529"/>
      <c r="AW32" s="529"/>
      <c r="AX32" s="530"/>
    </row>
    <row r="33" spans="1:50" x14ac:dyDescent="0.25">
      <c r="A33" s="559" t="s">
        <v>920</v>
      </c>
      <c r="B33" s="560"/>
      <c r="C33" s="560"/>
      <c r="D33" s="560"/>
      <c r="E33" s="529"/>
      <c r="F33" s="529"/>
      <c r="G33" s="560" t="s">
        <v>97</v>
      </c>
      <c r="H33" s="560"/>
      <c r="I33" s="560"/>
      <c r="J33" s="560"/>
      <c r="K33" s="529"/>
      <c r="L33" s="529"/>
      <c r="M33" s="529"/>
      <c r="N33" s="529"/>
      <c r="O33" s="529"/>
      <c r="P33" s="529"/>
      <c r="Q33" s="529"/>
      <c r="R33" s="529"/>
      <c r="S33" s="529"/>
      <c r="T33" s="529"/>
      <c r="U33" s="529"/>
      <c r="V33" s="529"/>
      <c r="W33" s="529"/>
      <c r="X33" s="529"/>
      <c r="Y33" s="530"/>
      <c r="Z33" s="559" t="s">
        <v>920</v>
      </c>
      <c r="AA33" s="560"/>
      <c r="AB33" s="560"/>
      <c r="AC33" s="560"/>
      <c r="AD33" s="529"/>
      <c r="AE33" s="529"/>
      <c r="AF33" s="560" t="s">
        <v>97</v>
      </c>
      <c r="AG33" s="560"/>
      <c r="AH33" s="560"/>
      <c r="AI33" s="560"/>
      <c r="AJ33" s="529"/>
      <c r="AK33" s="529"/>
      <c r="AL33" s="529"/>
      <c r="AM33" s="529"/>
      <c r="AN33" s="529"/>
      <c r="AO33" s="529"/>
      <c r="AP33" s="529"/>
      <c r="AQ33" s="529"/>
      <c r="AR33" s="529"/>
      <c r="AS33" s="529"/>
      <c r="AT33" s="529"/>
      <c r="AU33" s="529"/>
      <c r="AV33" s="529"/>
      <c r="AW33" s="529"/>
      <c r="AX33" s="530"/>
    </row>
    <row r="34" spans="1:50" x14ac:dyDescent="0.25">
      <c r="A34" s="559" t="s">
        <v>60</v>
      </c>
      <c r="B34" s="560"/>
      <c r="C34" s="560"/>
      <c r="D34" s="560"/>
      <c r="E34" s="529"/>
      <c r="F34" s="529"/>
      <c r="G34" s="560" t="s">
        <v>921</v>
      </c>
      <c r="H34" s="560"/>
      <c r="I34" s="560"/>
      <c r="J34" s="560"/>
      <c r="K34" s="529"/>
      <c r="L34" s="529"/>
      <c r="M34" s="560" t="s">
        <v>766</v>
      </c>
      <c r="N34" s="560"/>
      <c r="O34" s="560"/>
      <c r="P34" s="560"/>
      <c r="Q34" s="564"/>
      <c r="R34" s="529"/>
      <c r="S34" s="529"/>
      <c r="T34" s="529"/>
      <c r="U34" s="529"/>
      <c r="V34" s="529"/>
      <c r="W34" s="529"/>
      <c r="X34" s="529"/>
      <c r="Y34" s="530"/>
      <c r="Z34" s="559" t="s">
        <v>60</v>
      </c>
      <c r="AA34" s="560"/>
      <c r="AB34" s="560"/>
      <c r="AC34" s="560"/>
      <c r="AD34" s="529"/>
      <c r="AE34" s="529"/>
      <c r="AF34" s="560" t="s">
        <v>921</v>
      </c>
      <c r="AG34" s="560"/>
      <c r="AH34" s="560"/>
      <c r="AI34" s="560"/>
      <c r="AJ34" s="529"/>
      <c r="AK34" s="529"/>
      <c r="AL34" s="560" t="s">
        <v>766</v>
      </c>
      <c r="AM34" s="560"/>
      <c r="AN34" s="560"/>
      <c r="AO34" s="560"/>
      <c r="AP34" s="564"/>
      <c r="AQ34" s="529"/>
      <c r="AR34" s="529"/>
      <c r="AS34" s="529"/>
      <c r="AT34" s="529"/>
      <c r="AU34" s="529"/>
      <c r="AV34" s="529"/>
      <c r="AW34" s="529"/>
      <c r="AX34" s="530"/>
    </row>
    <row r="35" spans="1:50" x14ac:dyDescent="0.25">
      <c r="A35" s="559" t="s">
        <v>923</v>
      </c>
      <c r="B35" s="560"/>
      <c r="C35" s="560"/>
      <c r="D35" s="560"/>
      <c r="E35" s="560"/>
      <c r="F35" s="560"/>
      <c r="G35" s="560"/>
      <c r="H35" s="560"/>
      <c r="I35" s="560"/>
      <c r="J35" s="560"/>
      <c r="K35" s="560"/>
      <c r="L35" s="560"/>
      <c r="M35" s="560" t="s">
        <v>124</v>
      </c>
      <c r="N35" s="560"/>
      <c r="O35" s="560"/>
      <c r="P35" s="560" t="s">
        <v>125</v>
      </c>
      <c r="Q35" s="560"/>
      <c r="R35" s="560"/>
      <c r="S35" s="560" t="s">
        <v>924</v>
      </c>
      <c r="T35" s="560"/>
      <c r="U35" s="560"/>
      <c r="V35" s="560" t="s">
        <v>131</v>
      </c>
      <c r="W35" s="560"/>
      <c r="X35" s="560" t="s">
        <v>128</v>
      </c>
      <c r="Y35" s="561"/>
      <c r="Z35" s="559" t="s">
        <v>923</v>
      </c>
      <c r="AA35" s="560"/>
      <c r="AB35" s="560"/>
      <c r="AC35" s="560"/>
      <c r="AD35" s="560"/>
      <c r="AE35" s="560"/>
      <c r="AF35" s="560"/>
      <c r="AG35" s="560"/>
      <c r="AH35" s="560"/>
      <c r="AI35" s="560"/>
      <c r="AJ35" s="560"/>
      <c r="AK35" s="560"/>
      <c r="AL35" s="560" t="s">
        <v>124</v>
      </c>
      <c r="AM35" s="560"/>
      <c r="AN35" s="560"/>
      <c r="AO35" s="560" t="s">
        <v>125</v>
      </c>
      <c r="AP35" s="560"/>
      <c r="AQ35" s="560"/>
      <c r="AR35" s="560" t="s">
        <v>924</v>
      </c>
      <c r="AS35" s="560"/>
      <c r="AT35" s="560"/>
      <c r="AU35" s="560" t="s">
        <v>131</v>
      </c>
      <c r="AV35" s="560"/>
      <c r="AW35" s="560" t="s">
        <v>128</v>
      </c>
      <c r="AX35" s="561"/>
    </row>
    <row r="36" spans="1:50" x14ac:dyDescent="0.25">
      <c r="A36" s="562"/>
      <c r="B36" s="529"/>
      <c r="C36" s="529"/>
      <c r="D36" s="529"/>
      <c r="E36" s="529"/>
      <c r="F36" s="529"/>
      <c r="G36" s="529"/>
      <c r="H36" s="529"/>
      <c r="I36" s="529"/>
      <c r="J36" s="529"/>
      <c r="K36" s="529"/>
      <c r="L36" s="529"/>
      <c r="M36" s="529"/>
      <c r="N36" s="529"/>
      <c r="O36" s="529"/>
      <c r="P36" s="529"/>
      <c r="Q36" s="529"/>
      <c r="R36" s="529"/>
      <c r="S36" s="564"/>
      <c r="T36" s="529"/>
      <c r="U36" s="529"/>
      <c r="V36" s="529"/>
      <c r="W36" s="529"/>
      <c r="X36" s="564"/>
      <c r="Y36" s="530"/>
      <c r="Z36" s="562"/>
      <c r="AA36" s="529"/>
      <c r="AB36" s="529"/>
      <c r="AC36" s="529"/>
      <c r="AD36" s="529"/>
      <c r="AE36" s="529"/>
      <c r="AF36" s="529"/>
      <c r="AG36" s="529"/>
      <c r="AH36" s="529"/>
      <c r="AI36" s="529"/>
      <c r="AJ36" s="529"/>
      <c r="AK36" s="529"/>
      <c r="AL36" s="529"/>
      <c r="AM36" s="529"/>
      <c r="AN36" s="529"/>
      <c r="AO36" s="529"/>
      <c r="AP36" s="529"/>
      <c r="AQ36" s="529"/>
      <c r="AR36" s="564"/>
      <c r="AS36" s="529"/>
      <c r="AT36" s="529"/>
      <c r="AU36" s="529"/>
      <c r="AV36" s="529"/>
      <c r="AW36" s="564"/>
      <c r="AX36" s="530"/>
    </row>
    <row r="37" spans="1:50" x14ac:dyDescent="0.25">
      <c r="A37" s="562"/>
      <c r="B37" s="529"/>
      <c r="C37" s="529"/>
      <c r="D37" s="529"/>
      <c r="E37" s="529"/>
      <c r="F37" s="529"/>
      <c r="G37" s="529"/>
      <c r="H37" s="529"/>
      <c r="I37" s="529"/>
      <c r="J37" s="529"/>
      <c r="K37" s="529"/>
      <c r="L37" s="529"/>
      <c r="M37" s="529"/>
      <c r="N37" s="529"/>
      <c r="O37" s="529"/>
      <c r="P37" s="529"/>
      <c r="Q37" s="529"/>
      <c r="R37" s="529"/>
      <c r="S37" s="564"/>
      <c r="T37" s="529"/>
      <c r="U37" s="529"/>
      <c r="V37" s="529"/>
      <c r="W37" s="529"/>
      <c r="X37" s="564"/>
      <c r="Y37" s="530"/>
      <c r="Z37" s="562"/>
      <c r="AA37" s="529"/>
      <c r="AB37" s="529"/>
      <c r="AC37" s="529"/>
      <c r="AD37" s="529"/>
      <c r="AE37" s="529"/>
      <c r="AF37" s="529"/>
      <c r="AG37" s="529"/>
      <c r="AH37" s="529"/>
      <c r="AI37" s="529"/>
      <c r="AJ37" s="529"/>
      <c r="AK37" s="529"/>
      <c r="AL37" s="529"/>
      <c r="AM37" s="529"/>
      <c r="AN37" s="529"/>
      <c r="AO37" s="529"/>
      <c r="AP37" s="529"/>
      <c r="AQ37" s="529"/>
      <c r="AR37" s="564"/>
      <c r="AS37" s="529"/>
      <c r="AT37" s="529"/>
      <c r="AU37" s="529"/>
      <c r="AV37" s="529"/>
      <c r="AW37" s="564"/>
      <c r="AX37" s="530"/>
    </row>
    <row r="38" spans="1:50" x14ac:dyDescent="0.25">
      <c r="A38" s="562"/>
      <c r="B38" s="529"/>
      <c r="C38" s="529"/>
      <c r="D38" s="529"/>
      <c r="E38" s="529"/>
      <c r="F38" s="529"/>
      <c r="G38" s="529"/>
      <c r="H38" s="529"/>
      <c r="I38" s="529"/>
      <c r="J38" s="529"/>
      <c r="K38" s="529"/>
      <c r="L38" s="529"/>
      <c r="M38" s="529"/>
      <c r="N38" s="529"/>
      <c r="O38" s="529"/>
      <c r="P38" s="529"/>
      <c r="Q38" s="529"/>
      <c r="R38" s="529"/>
      <c r="S38" s="529"/>
      <c r="T38" s="529"/>
      <c r="U38" s="529"/>
      <c r="V38" s="529"/>
      <c r="W38" s="529"/>
      <c r="X38" s="529"/>
      <c r="Y38" s="530"/>
      <c r="Z38" s="562"/>
      <c r="AA38" s="529"/>
      <c r="AB38" s="529"/>
      <c r="AC38" s="529"/>
      <c r="AD38" s="529"/>
      <c r="AE38" s="529"/>
      <c r="AF38" s="529"/>
      <c r="AG38" s="529"/>
      <c r="AH38" s="529"/>
      <c r="AI38" s="529"/>
      <c r="AJ38" s="529"/>
      <c r="AK38" s="529"/>
      <c r="AL38" s="529"/>
      <c r="AM38" s="529"/>
      <c r="AN38" s="529"/>
      <c r="AO38" s="529"/>
      <c r="AP38" s="529"/>
      <c r="AQ38" s="529"/>
      <c r="AR38" s="529"/>
      <c r="AS38" s="529"/>
      <c r="AT38" s="529"/>
      <c r="AU38" s="529"/>
      <c r="AV38" s="529"/>
      <c r="AW38" s="529"/>
      <c r="AX38" s="530"/>
    </row>
    <row r="39" spans="1:50" x14ac:dyDescent="0.25">
      <c r="A39" s="562"/>
      <c r="B39" s="529"/>
      <c r="C39" s="529"/>
      <c r="D39" s="529"/>
      <c r="E39" s="529"/>
      <c r="F39" s="529"/>
      <c r="G39" s="529"/>
      <c r="H39" s="529"/>
      <c r="I39" s="529"/>
      <c r="J39" s="529"/>
      <c r="K39" s="529"/>
      <c r="L39" s="529"/>
      <c r="M39" s="529"/>
      <c r="N39" s="529"/>
      <c r="O39" s="529"/>
      <c r="P39" s="529"/>
      <c r="Q39" s="529"/>
      <c r="R39" s="529"/>
      <c r="S39" s="529"/>
      <c r="T39" s="529"/>
      <c r="U39" s="529"/>
      <c r="V39" s="529"/>
      <c r="W39" s="529"/>
      <c r="X39" s="529"/>
      <c r="Y39" s="530"/>
      <c r="Z39" s="562"/>
      <c r="AA39" s="529"/>
      <c r="AB39" s="529"/>
      <c r="AC39" s="529"/>
      <c r="AD39" s="529"/>
      <c r="AE39" s="529"/>
      <c r="AF39" s="529"/>
      <c r="AG39" s="529"/>
      <c r="AH39" s="529"/>
      <c r="AI39" s="529"/>
      <c r="AJ39" s="529"/>
      <c r="AK39" s="529"/>
      <c r="AL39" s="529"/>
      <c r="AM39" s="529"/>
      <c r="AN39" s="529"/>
      <c r="AO39" s="529"/>
      <c r="AP39" s="529"/>
      <c r="AQ39" s="529"/>
      <c r="AR39" s="529"/>
      <c r="AS39" s="529"/>
      <c r="AT39" s="529"/>
      <c r="AU39" s="529"/>
      <c r="AV39" s="529"/>
      <c r="AW39" s="529"/>
      <c r="AX39" s="530"/>
    </row>
    <row r="40" spans="1:50" x14ac:dyDescent="0.25">
      <c r="A40" s="562"/>
      <c r="B40" s="529"/>
      <c r="C40" s="529"/>
      <c r="D40" s="529"/>
      <c r="E40" s="529"/>
      <c r="F40" s="529"/>
      <c r="G40" s="529"/>
      <c r="H40" s="529"/>
      <c r="I40" s="529"/>
      <c r="J40" s="529"/>
      <c r="K40" s="529"/>
      <c r="L40" s="529"/>
      <c r="M40" s="529"/>
      <c r="N40" s="529"/>
      <c r="O40" s="529"/>
      <c r="P40" s="529"/>
      <c r="Q40" s="529"/>
      <c r="R40" s="529"/>
      <c r="S40" s="529"/>
      <c r="T40" s="529"/>
      <c r="U40" s="529"/>
      <c r="V40" s="529"/>
      <c r="W40" s="529"/>
      <c r="X40" s="529"/>
      <c r="Y40" s="530"/>
      <c r="Z40" s="562"/>
      <c r="AA40" s="529"/>
      <c r="AB40" s="529"/>
      <c r="AC40" s="529"/>
      <c r="AD40" s="529"/>
      <c r="AE40" s="529"/>
      <c r="AF40" s="529"/>
      <c r="AG40" s="529"/>
      <c r="AH40" s="529"/>
      <c r="AI40" s="529"/>
      <c r="AJ40" s="529"/>
      <c r="AK40" s="529"/>
      <c r="AL40" s="529"/>
      <c r="AM40" s="529"/>
      <c r="AN40" s="529"/>
      <c r="AO40" s="529"/>
      <c r="AP40" s="529"/>
      <c r="AQ40" s="529"/>
      <c r="AR40" s="529"/>
      <c r="AS40" s="529"/>
      <c r="AT40" s="529"/>
      <c r="AU40" s="529"/>
      <c r="AV40" s="529"/>
      <c r="AW40" s="529"/>
      <c r="AX40" s="530"/>
    </row>
    <row r="41" spans="1:50" x14ac:dyDescent="0.25">
      <c r="A41" s="562"/>
      <c r="B41" s="529"/>
      <c r="C41" s="529"/>
      <c r="D41" s="529"/>
      <c r="E41" s="529"/>
      <c r="F41" s="529"/>
      <c r="G41" s="529"/>
      <c r="H41" s="529"/>
      <c r="I41" s="529"/>
      <c r="J41" s="529"/>
      <c r="K41" s="529"/>
      <c r="L41" s="529"/>
      <c r="M41" s="529"/>
      <c r="N41" s="529"/>
      <c r="O41" s="529"/>
      <c r="P41" s="529"/>
      <c r="Q41" s="529"/>
      <c r="R41" s="529"/>
      <c r="S41" s="529"/>
      <c r="T41" s="529"/>
      <c r="U41" s="529"/>
      <c r="V41" s="529"/>
      <c r="W41" s="529"/>
      <c r="X41" s="529"/>
      <c r="Y41" s="530"/>
      <c r="Z41" s="562"/>
      <c r="AA41" s="529"/>
      <c r="AB41" s="529"/>
      <c r="AC41" s="529"/>
      <c r="AD41" s="529"/>
      <c r="AE41" s="529"/>
      <c r="AF41" s="529"/>
      <c r="AG41" s="529"/>
      <c r="AH41" s="529"/>
      <c r="AI41" s="529"/>
      <c r="AJ41" s="529"/>
      <c r="AK41" s="529"/>
      <c r="AL41" s="529"/>
      <c r="AM41" s="529"/>
      <c r="AN41" s="529"/>
      <c r="AO41" s="529"/>
      <c r="AP41" s="529"/>
      <c r="AQ41" s="529"/>
      <c r="AR41" s="529"/>
      <c r="AS41" s="529"/>
      <c r="AT41" s="529"/>
      <c r="AU41" s="529"/>
      <c r="AV41" s="529"/>
      <c r="AW41" s="529"/>
      <c r="AX41" s="530"/>
    </row>
    <row r="42" spans="1:50" x14ac:dyDescent="0.25">
      <c r="A42" s="562"/>
      <c r="B42" s="529"/>
      <c r="C42" s="529"/>
      <c r="D42" s="529"/>
      <c r="E42" s="529"/>
      <c r="F42" s="529"/>
      <c r="G42" s="529"/>
      <c r="H42" s="529"/>
      <c r="I42" s="529"/>
      <c r="J42" s="529"/>
      <c r="K42" s="529"/>
      <c r="L42" s="529"/>
      <c r="M42" s="529"/>
      <c r="N42" s="529"/>
      <c r="O42" s="529"/>
      <c r="P42" s="529"/>
      <c r="Q42" s="529"/>
      <c r="R42" s="529"/>
      <c r="S42" s="529"/>
      <c r="T42" s="529"/>
      <c r="U42" s="529"/>
      <c r="V42" s="529"/>
      <c r="W42" s="529"/>
      <c r="X42" s="529"/>
      <c r="Y42" s="530"/>
      <c r="Z42" s="562"/>
      <c r="AA42" s="529"/>
      <c r="AB42" s="529"/>
      <c r="AC42" s="529"/>
      <c r="AD42" s="529"/>
      <c r="AE42" s="529"/>
      <c r="AF42" s="529"/>
      <c r="AG42" s="529"/>
      <c r="AH42" s="529"/>
      <c r="AI42" s="529"/>
      <c r="AJ42" s="529"/>
      <c r="AK42" s="529"/>
      <c r="AL42" s="529"/>
      <c r="AM42" s="529"/>
      <c r="AN42" s="529"/>
      <c r="AO42" s="529"/>
      <c r="AP42" s="529"/>
      <c r="AQ42" s="529"/>
      <c r="AR42" s="529"/>
      <c r="AS42" s="529"/>
      <c r="AT42" s="529"/>
      <c r="AU42" s="529"/>
      <c r="AV42" s="529"/>
      <c r="AW42" s="529"/>
      <c r="AX42" s="530"/>
    </row>
    <row r="43" spans="1:50" x14ac:dyDescent="0.25">
      <c r="A43" s="559" t="s">
        <v>925</v>
      </c>
      <c r="B43" s="560"/>
      <c r="C43" s="560"/>
      <c r="D43" s="560"/>
      <c r="E43" s="560"/>
      <c r="F43" s="560"/>
      <c r="G43" s="560"/>
      <c r="H43" s="560"/>
      <c r="I43" s="560"/>
      <c r="J43" s="560"/>
      <c r="K43" s="560"/>
      <c r="L43" s="560"/>
      <c r="M43" s="560"/>
      <c r="N43" s="560"/>
      <c r="O43" s="560"/>
      <c r="P43" s="560" t="s">
        <v>926</v>
      </c>
      <c r="Q43" s="560"/>
      <c r="R43" s="560"/>
      <c r="S43" s="560"/>
      <c r="T43" s="560"/>
      <c r="U43" s="560"/>
      <c r="V43" s="560"/>
      <c r="W43" s="560"/>
      <c r="X43" s="560"/>
      <c r="Y43" s="561"/>
      <c r="Z43" s="559" t="s">
        <v>925</v>
      </c>
      <c r="AA43" s="560"/>
      <c r="AB43" s="560"/>
      <c r="AC43" s="560"/>
      <c r="AD43" s="560"/>
      <c r="AE43" s="560"/>
      <c r="AF43" s="560"/>
      <c r="AG43" s="560"/>
      <c r="AH43" s="560"/>
      <c r="AI43" s="560"/>
      <c r="AJ43" s="560"/>
      <c r="AK43" s="560"/>
      <c r="AL43" s="560"/>
      <c r="AM43" s="560"/>
      <c r="AN43" s="560"/>
      <c r="AO43" s="560" t="s">
        <v>926</v>
      </c>
      <c r="AP43" s="560"/>
      <c r="AQ43" s="560"/>
      <c r="AR43" s="560"/>
      <c r="AS43" s="560"/>
      <c r="AT43" s="560"/>
      <c r="AU43" s="560"/>
      <c r="AV43" s="560"/>
      <c r="AW43" s="560"/>
      <c r="AX43" s="561"/>
    </row>
    <row r="44" spans="1:50" x14ac:dyDescent="0.25">
      <c r="A44" s="562"/>
      <c r="B44" s="529"/>
      <c r="C44" s="529"/>
      <c r="D44" s="529"/>
      <c r="E44" s="529"/>
      <c r="F44" s="529"/>
      <c r="G44" s="529"/>
      <c r="H44" s="529"/>
      <c r="I44" s="529"/>
      <c r="J44" s="529"/>
      <c r="K44" s="529"/>
      <c r="L44" s="529"/>
      <c r="M44" s="529"/>
      <c r="N44" s="529"/>
      <c r="O44" s="529"/>
      <c r="P44" s="529"/>
      <c r="Q44" s="529"/>
      <c r="R44" s="529"/>
      <c r="S44" s="529"/>
      <c r="T44" s="529"/>
      <c r="U44" s="529"/>
      <c r="V44" s="529"/>
      <c r="W44" s="529"/>
      <c r="X44" s="529"/>
      <c r="Y44" s="530"/>
      <c r="Z44" s="562"/>
      <c r="AA44" s="529"/>
      <c r="AB44" s="529"/>
      <c r="AC44" s="529"/>
      <c r="AD44" s="529"/>
      <c r="AE44" s="529"/>
      <c r="AF44" s="529"/>
      <c r="AG44" s="529"/>
      <c r="AH44" s="529"/>
      <c r="AI44" s="529"/>
      <c r="AJ44" s="529"/>
      <c r="AK44" s="529"/>
      <c r="AL44" s="529"/>
      <c r="AM44" s="529"/>
      <c r="AN44" s="529"/>
      <c r="AO44" s="529"/>
      <c r="AP44" s="529"/>
      <c r="AQ44" s="529"/>
      <c r="AR44" s="529"/>
      <c r="AS44" s="529"/>
      <c r="AT44" s="529"/>
      <c r="AU44" s="529"/>
      <c r="AV44" s="529"/>
      <c r="AW44" s="529"/>
      <c r="AX44" s="530"/>
    </row>
    <row r="45" spans="1:50" x14ac:dyDescent="0.25">
      <c r="A45" s="562"/>
      <c r="B45" s="529"/>
      <c r="C45" s="529"/>
      <c r="D45" s="529"/>
      <c r="E45" s="529"/>
      <c r="F45" s="529"/>
      <c r="G45" s="529"/>
      <c r="H45" s="529"/>
      <c r="I45" s="529"/>
      <c r="J45" s="529"/>
      <c r="K45" s="529"/>
      <c r="L45" s="529"/>
      <c r="M45" s="529"/>
      <c r="N45" s="529"/>
      <c r="O45" s="529"/>
      <c r="P45" s="529"/>
      <c r="Q45" s="529"/>
      <c r="R45" s="529"/>
      <c r="S45" s="529"/>
      <c r="T45" s="529"/>
      <c r="U45" s="529"/>
      <c r="V45" s="529"/>
      <c r="W45" s="529"/>
      <c r="X45" s="529"/>
      <c r="Y45" s="530"/>
      <c r="Z45" s="562"/>
      <c r="AA45" s="529"/>
      <c r="AB45" s="529"/>
      <c r="AC45" s="529"/>
      <c r="AD45" s="529"/>
      <c r="AE45" s="529"/>
      <c r="AF45" s="529"/>
      <c r="AG45" s="529"/>
      <c r="AH45" s="529"/>
      <c r="AI45" s="529"/>
      <c r="AJ45" s="529"/>
      <c r="AK45" s="529"/>
      <c r="AL45" s="529"/>
      <c r="AM45" s="529"/>
      <c r="AN45" s="529"/>
      <c r="AO45" s="529"/>
      <c r="AP45" s="529"/>
      <c r="AQ45" s="529"/>
      <c r="AR45" s="529"/>
      <c r="AS45" s="529"/>
      <c r="AT45" s="529"/>
      <c r="AU45" s="529"/>
      <c r="AV45" s="529"/>
      <c r="AW45" s="529"/>
      <c r="AX45" s="530"/>
    </row>
    <row r="46" spans="1:50" x14ac:dyDescent="0.25">
      <c r="A46" s="562"/>
      <c r="B46" s="529"/>
      <c r="C46" s="529"/>
      <c r="D46" s="529"/>
      <c r="E46" s="529"/>
      <c r="F46" s="529"/>
      <c r="G46" s="529"/>
      <c r="H46" s="529"/>
      <c r="I46" s="529"/>
      <c r="J46" s="529"/>
      <c r="K46" s="529"/>
      <c r="L46" s="529"/>
      <c r="M46" s="529"/>
      <c r="N46" s="529"/>
      <c r="O46" s="529"/>
      <c r="P46" s="529"/>
      <c r="Q46" s="529"/>
      <c r="R46" s="529"/>
      <c r="S46" s="529"/>
      <c r="T46" s="529"/>
      <c r="U46" s="529"/>
      <c r="V46" s="529"/>
      <c r="W46" s="529"/>
      <c r="X46" s="529"/>
      <c r="Y46" s="530"/>
      <c r="Z46" s="562"/>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0"/>
    </row>
    <row r="47" spans="1:50" x14ac:dyDescent="0.25">
      <c r="A47" s="562"/>
      <c r="B47" s="529"/>
      <c r="C47" s="529"/>
      <c r="D47" s="529"/>
      <c r="E47" s="529"/>
      <c r="F47" s="529"/>
      <c r="G47" s="529"/>
      <c r="H47" s="529"/>
      <c r="I47" s="529"/>
      <c r="J47" s="529"/>
      <c r="K47" s="529"/>
      <c r="L47" s="529"/>
      <c r="M47" s="529"/>
      <c r="N47" s="529"/>
      <c r="O47" s="529"/>
      <c r="P47" s="529"/>
      <c r="Q47" s="529"/>
      <c r="R47" s="529"/>
      <c r="S47" s="529"/>
      <c r="T47" s="529"/>
      <c r="U47" s="529"/>
      <c r="V47" s="529"/>
      <c r="W47" s="529"/>
      <c r="X47" s="529"/>
      <c r="Y47" s="530"/>
      <c r="Z47" s="562"/>
      <c r="AA47" s="529"/>
      <c r="AB47" s="529"/>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0"/>
    </row>
    <row r="48" spans="1:50" ht="15.75" thickBot="1" x14ac:dyDescent="0.3">
      <c r="A48" s="563"/>
      <c r="B48" s="531"/>
      <c r="C48" s="531"/>
      <c r="D48" s="531"/>
      <c r="E48" s="531"/>
      <c r="F48" s="531"/>
      <c r="G48" s="531"/>
      <c r="H48" s="531"/>
      <c r="I48" s="531"/>
      <c r="J48" s="531"/>
      <c r="K48" s="531"/>
      <c r="L48" s="531"/>
      <c r="M48" s="531"/>
      <c r="N48" s="531"/>
      <c r="O48" s="531"/>
      <c r="P48" s="531"/>
      <c r="Q48" s="531"/>
      <c r="R48" s="531"/>
      <c r="S48" s="531"/>
      <c r="T48" s="531"/>
      <c r="U48" s="531"/>
      <c r="V48" s="531"/>
      <c r="W48" s="531"/>
      <c r="X48" s="531"/>
      <c r="Y48" s="532"/>
      <c r="Z48" s="563"/>
      <c r="AA48" s="531"/>
      <c r="AB48" s="531"/>
      <c r="AC48" s="531"/>
      <c r="AD48" s="531"/>
      <c r="AE48" s="531"/>
      <c r="AF48" s="531"/>
      <c r="AG48" s="531"/>
      <c r="AH48" s="531"/>
      <c r="AI48" s="531"/>
      <c r="AJ48" s="531"/>
      <c r="AK48" s="531"/>
      <c r="AL48" s="531"/>
      <c r="AM48" s="531"/>
      <c r="AN48" s="531"/>
      <c r="AO48" s="531"/>
      <c r="AP48" s="531"/>
      <c r="AQ48" s="531"/>
      <c r="AR48" s="531"/>
      <c r="AS48" s="531"/>
      <c r="AT48" s="531"/>
      <c r="AU48" s="531"/>
      <c r="AV48" s="531"/>
      <c r="AW48" s="531"/>
      <c r="AX48" s="532"/>
    </row>
    <row r="49" spans="1:50" x14ac:dyDescent="0.25">
      <c r="A49" s="565" t="s">
        <v>75</v>
      </c>
      <c r="B49" s="566"/>
      <c r="C49" s="566"/>
      <c r="D49" s="527"/>
      <c r="E49" s="527"/>
      <c r="F49" s="527"/>
      <c r="G49" s="527"/>
      <c r="H49" s="527"/>
      <c r="I49" s="527"/>
      <c r="J49" s="527"/>
      <c r="K49" s="527"/>
      <c r="L49" s="527"/>
      <c r="M49" s="527"/>
      <c r="N49" s="566" t="s">
        <v>911</v>
      </c>
      <c r="O49" s="566"/>
      <c r="P49" s="527"/>
      <c r="Q49" s="527"/>
      <c r="R49" s="566" t="s">
        <v>914</v>
      </c>
      <c r="S49" s="566"/>
      <c r="T49" s="527"/>
      <c r="U49" s="527"/>
      <c r="V49" s="566" t="s">
        <v>917</v>
      </c>
      <c r="W49" s="566"/>
      <c r="X49" s="527"/>
      <c r="Y49" s="528"/>
      <c r="Z49" s="565" t="s">
        <v>75</v>
      </c>
      <c r="AA49" s="566"/>
      <c r="AB49" s="566"/>
      <c r="AC49" s="527"/>
      <c r="AD49" s="527"/>
      <c r="AE49" s="527"/>
      <c r="AF49" s="527"/>
      <c r="AG49" s="527"/>
      <c r="AH49" s="527"/>
      <c r="AI49" s="527"/>
      <c r="AJ49" s="527"/>
      <c r="AK49" s="527"/>
      <c r="AL49" s="527"/>
      <c r="AM49" s="566" t="s">
        <v>911</v>
      </c>
      <c r="AN49" s="566"/>
      <c r="AO49" s="527"/>
      <c r="AP49" s="527"/>
      <c r="AQ49" s="566" t="s">
        <v>914</v>
      </c>
      <c r="AR49" s="566"/>
      <c r="AS49" s="527"/>
      <c r="AT49" s="527"/>
      <c r="AU49" s="566" t="s">
        <v>917</v>
      </c>
      <c r="AV49" s="566"/>
      <c r="AW49" s="527"/>
      <c r="AX49" s="528"/>
    </row>
    <row r="50" spans="1:50" x14ac:dyDescent="0.25">
      <c r="A50" s="559" t="s">
        <v>0</v>
      </c>
      <c r="B50" s="560"/>
      <c r="C50" s="560"/>
      <c r="D50" s="529"/>
      <c r="E50" s="529"/>
      <c r="F50" s="529"/>
      <c r="G50" s="529"/>
      <c r="H50" s="529"/>
      <c r="I50" s="529"/>
      <c r="J50" s="529"/>
      <c r="K50" s="529"/>
      <c r="L50" s="529"/>
      <c r="M50" s="529"/>
      <c r="N50" s="560" t="s">
        <v>912</v>
      </c>
      <c r="O50" s="560" t="s">
        <v>912</v>
      </c>
      <c r="P50" s="529"/>
      <c r="Q50" s="529"/>
      <c r="R50" s="560" t="s">
        <v>915</v>
      </c>
      <c r="S50" s="560"/>
      <c r="T50" s="529"/>
      <c r="U50" s="529"/>
      <c r="V50" s="560" t="s">
        <v>918</v>
      </c>
      <c r="W50" s="560"/>
      <c r="X50" s="529"/>
      <c r="Y50" s="530"/>
      <c r="Z50" s="559" t="s">
        <v>0</v>
      </c>
      <c r="AA50" s="560"/>
      <c r="AB50" s="560"/>
      <c r="AC50" s="529"/>
      <c r="AD50" s="529"/>
      <c r="AE50" s="529"/>
      <c r="AF50" s="529"/>
      <c r="AG50" s="529"/>
      <c r="AH50" s="529"/>
      <c r="AI50" s="529"/>
      <c r="AJ50" s="529"/>
      <c r="AK50" s="529"/>
      <c r="AL50" s="529"/>
      <c r="AM50" s="560" t="s">
        <v>912</v>
      </c>
      <c r="AN50" s="560" t="s">
        <v>912</v>
      </c>
      <c r="AO50" s="529"/>
      <c r="AP50" s="529"/>
      <c r="AQ50" s="560" t="s">
        <v>915</v>
      </c>
      <c r="AR50" s="560"/>
      <c r="AS50" s="529"/>
      <c r="AT50" s="529"/>
      <c r="AU50" s="560" t="s">
        <v>918</v>
      </c>
      <c r="AV50" s="560"/>
      <c r="AW50" s="529"/>
      <c r="AX50" s="530"/>
    </row>
    <row r="51" spans="1:50" x14ac:dyDescent="0.25">
      <c r="A51" s="559" t="s">
        <v>77</v>
      </c>
      <c r="B51" s="560"/>
      <c r="C51" s="560"/>
      <c r="D51" s="529"/>
      <c r="E51" s="529"/>
      <c r="F51" s="529"/>
      <c r="G51" s="529"/>
      <c r="H51" s="529"/>
      <c r="I51" s="529"/>
      <c r="J51" s="529"/>
      <c r="K51" s="529"/>
      <c r="L51" s="529"/>
      <c r="M51" s="529"/>
      <c r="N51" s="560" t="s">
        <v>913</v>
      </c>
      <c r="O51" s="560"/>
      <c r="P51" s="529"/>
      <c r="Q51" s="529"/>
      <c r="R51" s="560" t="s">
        <v>916</v>
      </c>
      <c r="S51" s="560"/>
      <c r="T51" s="529"/>
      <c r="U51" s="529"/>
      <c r="V51" s="560" t="s">
        <v>919</v>
      </c>
      <c r="W51" s="560"/>
      <c r="X51" s="529"/>
      <c r="Y51" s="530"/>
      <c r="Z51" s="559" t="s">
        <v>77</v>
      </c>
      <c r="AA51" s="560"/>
      <c r="AB51" s="560"/>
      <c r="AC51" s="529"/>
      <c r="AD51" s="529"/>
      <c r="AE51" s="529"/>
      <c r="AF51" s="529"/>
      <c r="AG51" s="529"/>
      <c r="AH51" s="529"/>
      <c r="AI51" s="529"/>
      <c r="AJ51" s="529"/>
      <c r="AK51" s="529"/>
      <c r="AL51" s="529"/>
      <c r="AM51" s="560" t="s">
        <v>913</v>
      </c>
      <c r="AN51" s="560"/>
      <c r="AO51" s="529"/>
      <c r="AP51" s="529"/>
      <c r="AQ51" s="560" t="s">
        <v>916</v>
      </c>
      <c r="AR51" s="560"/>
      <c r="AS51" s="529"/>
      <c r="AT51" s="529"/>
      <c r="AU51" s="560" t="s">
        <v>919</v>
      </c>
      <c r="AV51" s="560"/>
      <c r="AW51" s="529"/>
      <c r="AX51" s="530"/>
    </row>
    <row r="52" spans="1:50" x14ac:dyDescent="0.25">
      <c r="A52" s="559" t="s">
        <v>31</v>
      </c>
      <c r="B52" s="560"/>
      <c r="C52" s="560"/>
      <c r="D52" s="560"/>
      <c r="E52" s="529"/>
      <c r="F52" s="529"/>
      <c r="G52" s="560" t="s">
        <v>922</v>
      </c>
      <c r="H52" s="560"/>
      <c r="I52" s="560"/>
      <c r="J52" s="560"/>
      <c r="K52" s="560"/>
      <c r="L52" s="560"/>
      <c r="M52" s="560" t="s">
        <v>69</v>
      </c>
      <c r="N52" s="560"/>
      <c r="O52" s="560"/>
      <c r="P52" s="560"/>
      <c r="Q52" s="560"/>
      <c r="R52" s="560"/>
      <c r="S52" s="560"/>
      <c r="T52" s="560"/>
      <c r="U52" s="560"/>
      <c r="V52" s="560"/>
      <c r="W52" s="560"/>
      <c r="X52" s="560"/>
      <c r="Y52" s="561"/>
      <c r="Z52" s="559" t="s">
        <v>31</v>
      </c>
      <c r="AA52" s="560"/>
      <c r="AB52" s="560"/>
      <c r="AC52" s="560"/>
      <c r="AD52" s="529"/>
      <c r="AE52" s="529"/>
      <c r="AF52" s="560" t="s">
        <v>922</v>
      </c>
      <c r="AG52" s="560"/>
      <c r="AH52" s="560"/>
      <c r="AI52" s="560"/>
      <c r="AJ52" s="560"/>
      <c r="AK52" s="560"/>
      <c r="AL52" s="560" t="s">
        <v>69</v>
      </c>
      <c r="AM52" s="560"/>
      <c r="AN52" s="560"/>
      <c r="AO52" s="560"/>
      <c r="AP52" s="560"/>
      <c r="AQ52" s="560"/>
      <c r="AR52" s="560"/>
      <c r="AS52" s="560"/>
      <c r="AT52" s="560"/>
      <c r="AU52" s="560"/>
      <c r="AV52" s="560"/>
      <c r="AW52" s="560"/>
      <c r="AX52" s="561"/>
    </row>
    <row r="53" spans="1:50" x14ac:dyDescent="0.25">
      <c r="A53" s="562"/>
      <c r="B53" s="529"/>
      <c r="C53" s="529"/>
      <c r="D53" s="529"/>
      <c r="E53" s="529"/>
      <c r="F53" s="529"/>
      <c r="G53" s="560" t="s">
        <v>89</v>
      </c>
      <c r="H53" s="560"/>
      <c r="I53" s="560"/>
      <c r="J53" s="560"/>
      <c r="K53" s="529"/>
      <c r="L53" s="529"/>
      <c r="M53" s="529"/>
      <c r="N53" s="529"/>
      <c r="O53" s="529"/>
      <c r="P53" s="529"/>
      <c r="Q53" s="529"/>
      <c r="R53" s="529"/>
      <c r="S53" s="529"/>
      <c r="T53" s="529"/>
      <c r="U53" s="529"/>
      <c r="V53" s="529"/>
      <c r="W53" s="529"/>
      <c r="X53" s="529"/>
      <c r="Y53" s="530"/>
      <c r="Z53" s="562"/>
      <c r="AA53" s="529"/>
      <c r="AB53" s="529"/>
      <c r="AC53" s="529"/>
      <c r="AD53" s="529"/>
      <c r="AE53" s="529"/>
      <c r="AF53" s="560" t="s">
        <v>89</v>
      </c>
      <c r="AG53" s="560"/>
      <c r="AH53" s="560"/>
      <c r="AI53" s="560"/>
      <c r="AJ53" s="529"/>
      <c r="AK53" s="529"/>
      <c r="AL53" s="529"/>
      <c r="AM53" s="529"/>
      <c r="AN53" s="529"/>
      <c r="AO53" s="529"/>
      <c r="AP53" s="529"/>
      <c r="AQ53" s="529"/>
      <c r="AR53" s="529"/>
      <c r="AS53" s="529"/>
      <c r="AT53" s="529"/>
      <c r="AU53" s="529"/>
      <c r="AV53" s="529"/>
      <c r="AW53" s="529"/>
      <c r="AX53" s="530"/>
    </row>
    <row r="54" spans="1:50" x14ac:dyDescent="0.25">
      <c r="A54" s="562"/>
      <c r="B54" s="529"/>
      <c r="C54" s="529"/>
      <c r="D54" s="529"/>
      <c r="E54" s="529"/>
      <c r="F54" s="529"/>
      <c r="G54" s="560" t="s">
        <v>90</v>
      </c>
      <c r="H54" s="560"/>
      <c r="I54" s="560"/>
      <c r="J54" s="560"/>
      <c r="K54" s="529"/>
      <c r="L54" s="529"/>
      <c r="M54" s="529"/>
      <c r="N54" s="529"/>
      <c r="O54" s="529"/>
      <c r="P54" s="529"/>
      <c r="Q54" s="529"/>
      <c r="R54" s="529"/>
      <c r="S54" s="529"/>
      <c r="T54" s="529"/>
      <c r="U54" s="529"/>
      <c r="V54" s="529"/>
      <c r="W54" s="529"/>
      <c r="X54" s="529"/>
      <c r="Y54" s="530"/>
      <c r="Z54" s="562"/>
      <c r="AA54" s="529"/>
      <c r="AB54" s="529"/>
      <c r="AC54" s="529"/>
      <c r="AD54" s="529"/>
      <c r="AE54" s="529"/>
      <c r="AF54" s="560" t="s">
        <v>90</v>
      </c>
      <c r="AG54" s="560"/>
      <c r="AH54" s="560"/>
      <c r="AI54" s="560"/>
      <c r="AJ54" s="529"/>
      <c r="AK54" s="529"/>
      <c r="AL54" s="529"/>
      <c r="AM54" s="529"/>
      <c r="AN54" s="529"/>
      <c r="AO54" s="529"/>
      <c r="AP54" s="529"/>
      <c r="AQ54" s="529"/>
      <c r="AR54" s="529"/>
      <c r="AS54" s="529"/>
      <c r="AT54" s="529"/>
      <c r="AU54" s="529"/>
      <c r="AV54" s="529"/>
      <c r="AW54" s="529"/>
      <c r="AX54" s="530"/>
    </row>
    <row r="55" spans="1:50" x14ac:dyDescent="0.25">
      <c r="A55" s="562"/>
      <c r="B55" s="529"/>
      <c r="C55" s="529"/>
      <c r="D55" s="529"/>
      <c r="E55" s="529"/>
      <c r="F55" s="529"/>
      <c r="G55" s="560" t="s">
        <v>91</v>
      </c>
      <c r="H55" s="560"/>
      <c r="I55" s="560"/>
      <c r="J55" s="560"/>
      <c r="K55" s="529"/>
      <c r="L55" s="529"/>
      <c r="M55" s="529"/>
      <c r="N55" s="529"/>
      <c r="O55" s="529"/>
      <c r="P55" s="529"/>
      <c r="Q55" s="529"/>
      <c r="R55" s="529"/>
      <c r="S55" s="529"/>
      <c r="T55" s="529"/>
      <c r="U55" s="529"/>
      <c r="V55" s="529"/>
      <c r="W55" s="529"/>
      <c r="X55" s="529"/>
      <c r="Y55" s="530"/>
      <c r="Z55" s="562"/>
      <c r="AA55" s="529"/>
      <c r="AB55" s="529"/>
      <c r="AC55" s="529"/>
      <c r="AD55" s="529"/>
      <c r="AE55" s="529"/>
      <c r="AF55" s="560" t="s">
        <v>91</v>
      </c>
      <c r="AG55" s="560"/>
      <c r="AH55" s="560"/>
      <c r="AI55" s="560"/>
      <c r="AJ55" s="529"/>
      <c r="AK55" s="529"/>
      <c r="AL55" s="529"/>
      <c r="AM55" s="529"/>
      <c r="AN55" s="529"/>
      <c r="AO55" s="529"/>
      <c r="AP55" s="529"/>
      <c r="AQ55" s="529"/>
      <c r="AR55" s="529"/>
      <c r="AS55" s="529"/>
      <c r="AT55" s="529"/>
      <c r="AU55" s="529"/>
      <c r="AV55" s="529"/>
      <c r="AW55" s="529"/>
      <c r="AX55" s="530"/>
    </row>
    <row r="56" spans="1:50" x14ac:dyDescent="0.25">
      <c r="A56" s="562"/>
      <c r="B56" s="529"/>
      <c r="C56" s="529"/>
      <c r="D56" s="529"/>
      <c r="E56" s="529"/>
      <c r="F56" s="529"/>
      <c r="G56" s="560" t="s">
        <v>95</v>
      </c>
      <c r="H56" s="560"/>
      <c r="I56" s="560"/>
      <c r="J56" s="560"/>
      <c r="K56" s="529"/>
      <c r="L56" s="529"/>
      <c r="M56" s="529"/>
      <c r="N56" s="529"/>
      <c r="O56" s="529"/>
      <c r="P56" s="529"/>
      <c r="Q56" s="529"/>
      <c r="R56" s="529"/>
      <c r="S56" s="529"/>
      <c r="T56" s="529"/>
      <c r="U56" s="529"/>
      <c r="V56" s="529"/>
      <c r="W56" s="529"/>
      <c r="X56" s="529"/>
      <c r="Y56" s="530"/>
      <c r="Z56" s="562"/>
      <c r="AA56" s="529"/>
      <c r="AB56" s="529"/>
      <c r="AC56" s="529"/>
      <c r="AD56" s="529"/>
      <c r="AE56" s="529"/>
      <c r="AF56" s="560" t="s">
        <v>95</v>
      </c>
      <c r="AG56" s="560"/>
      <c r="AH56" s="560"/>
      <c r="AI56" s="560"/>
      <c r="AJ56" s="529"/>
      <c r="AK56" s="529"/>
      <c r="AL56" s="529"/>
      <c r="AM56" s="529"/>
      <c r="AN56" s="529"/>
      <c r="AO56" s="529"/>
      <c r="AP56" s="529"/>
      <c r="AQ56" s="529"/>
      <c r="AR56" s="529"/>
      <c r="AS56" s="529"/>
      <c r="AT56" s="529"/>
      <c r="AU56" s="529"/>
      <c r="AV56" s="529"/>
      <c r="AW56" s="529"/>
      <c r="AX56" s="530"/>
    </row>
    <row r="57" spans="1:50" x14ac:dyDescent="0.25">
      <c r="A57" s="559" t="s">
        <v>920</v>
      </c>
      <c r="B57" s="560"/>
      <c r="C57" s="560"/>
      <c r="D57" s="560"/>
      <c r="E57" s="529"/>
      <c r="F57" s="529"/>
      <c r="G57" s="560" t="s">
        <v>97</v>
      </c>
      <c r="H57" s="560"/>
      <c r="I57" s="560"/>
      <c r="J57" s="560"/>
      <c r="K57" s="529"/>
      <c r="L57" s="529"/>
      <c r="M57" s="529"/>
      <c r="N57" s="529"/>
      <c r="O57" s="529"/>
      <c r="P57" s="529"/>
      <c r="Q57" s="529"/>
      <c r="R57" s="529"/>
      <c r="S57" s="529"/>
      <c r="T57" s="529"/>
      <c r="U57" s="529"/>
      <c r="V57" s="529"/>
      <c r="W57" s="529"/>
      <c r="X57" s="529"/>
      <c r="Y57" s="530"/>
      <c r="Z57" s="559" t="s">
        <v>920</v>
      </c>
      <c r="AA57" s="560"/>
      <c r="AB57" s="560"/>
      <c r="AC57" s="560"/>
      <c r="AD57" s="529"/>
      <c r="AE57" s="529"/>
      <c r="AF57" s="560" t="s">
        <v>97</v>
      </c>
      <c r="AG57" s="560"/>
      <c r="AH57" s="560"/>
      <c r="AI57" s="560"/>
      <c r="AJ57" s="529"/>
      <c r="AK57" s="529"/>
      <c r="AL57" s="529"/>
      <c r="AM57" s="529"/>
      <c r="AN57" s="529"/>
      <c r="AO57" s="529"/>
      <c r="AP57" s="529"/>
      <c r="AQ57" s="529"/>
      <c r="AR57" s="529"/>
      <c r="AS57" s="529"/>
      <c r="AT57" s="529"/>
      <c r="AU57" s="529"/>
      <c r="AV57" s="529"/>
      <c r="AW57" s="529"/>
      <c r="AX57" s="530"/>
    </row>
    <row r="58" spans="1:50" x14ac:dyDescent="0.25">
      <c r="A58" s="559" t="s">
        <v>60</v>
      </c>
      <c r="B58" s="560"/>
      <c r="C58" s="560"/>
      <c r="D58" s="560"/>
      <c r="E58" s="529"/>
      <c r="F58" s="529"/>
      <c r="G58" s="560" t="s">
        <v>921</v>
      </c>
      <c r="H58" s="560"/>
      <c r="I58" s="560"/>
      <c r="J58" s="560"/>
      <c r="K58" s="529"/>
      <c r="L58" s="529"/>
      <c r="M58" s="560" t="s">
        <v>766</v>
      </c>
      <c r="N58" s="560"/>
      <c r="O58" s="560"/>
      <c r="P58" s="560"/>
      <c r="Q58" s="564"/>
      <c r="R58" s="529"/>
      <c r="S58" s="529"/>
      <c r="T58" s="529"/>
      <c r="U58" s="529"/>
      <c r="V58" s="529"/>
      <c r="W58" s="529"/>
      <c r="X58" s="529"/>
      <c r="Y58" s="530"/>
      <c r="Z58" s="559" t="s">
        <v>60</v>
      </c>
      <c r="AA58" s="560"/>
      <c r="AB58" s="560"/>
      <c r="AC58" s="560"/>
      <c r="AD58" s="529"/>
      <c r="AE58" s="529"/>
      <c r="AF58" s="560" t="s">
        <v>921</v>
      </c>
      <c r="AG58" s="560"/>
      <c r="AH58" s="560"/>
      <c r="AI58" s="560"/>
      <c r="AJ58" s="529"/>
      <c r="AK58" s="529"/>
      <c r="AL58" s="560" t="s">
        <v>766</v>
      </c>
      <c r="AM58" s="560"/>
      <c r="AN58" s="560"/>
      <c r="AO58" s="560"/>
      <c r="AP58" s="564"/>
      <c r="AQ58" s="529"/>
      <c r="AR58" s="529"/>
      <c r="AS58" s="529"/>
      <c r="AT58" s="529"/>
      <c r="AU58" s="529"/>
      <c r="AV58" s="529"/>
      <c r="AW58" s="529"/>
      <c r="AX58" s="530"/>
    </row>
    <row r="59" spans="1:50" x14ac:dyDescent="0.25">
      <c r="A59" s="559" t="s">
        <v>923</v>
      </c>
      <c r="B59" s="560"/>
      <c r="C59" s="560"/>
      <c r="D59" s="560"/>
      <c r="E59" s="560"/>
      <c r="F59" s="560"/>
      <c r="G59" s="560"/>
      <c r="H59" s="560"/>
      <c r="I59" s="560"/>
      <c r="J59" s="560"/>
      <c r="K59" s="560"/>
      <c r="L59" s="560"/>
      <c r="M59" s="560" t="s">
        <v>124</v>
      </c>
      <c r="N59" s="560"/>
      <c r="O59" s="560"/>
      <c r="P59" s="560" t="s">
        <v>125</v>
      </c>
      <c r="Q59" s="560"/>
      <c r="R59" s="560"/>
      <c r="S59" s="560" t="s">
        <v>924</v>
      </c>
      <c r="T59" s="560"/>
      <c r="U59" s="560"/>
      <c r="V59" s="560" t="s">
        <v>131</v>
      </c>
      <c r="W59" s="560"/>
      <c r="X59" s="560" t="s">
        <v>128</v>
      </c>
      <c r="Y59" s="561"/>
      <c r="Z59" s="559" t="s">
        <v>923</v>
      </c>
      <c r="AA59" s="560"/>
      <c r="AB59" s="560"/>
      <c r="AC59" s="560"/>
      <c r="AD59" s="560"/>
      <c r="AE59" s="560"/>
      <c r="AF59" s="560"/>
      <c r="AG59" s="560"/>
      <c r="AH59" s="560"/>
      <c r="AI59" s="560"/>
      <c r="AJ59" s="560"/>
      <c r="AK59" s="560"/>
      <c r="AL59" s="560" t="s">
        <v>124</v>
      </c>
      <c r="AM59" s="560"/>
      <c r="AN59" s="560"/>
      <c r="AO59" s="560" t="s">
        <v>125</v>
      </c>
      <c r="AP59" s="560"/>
      <c r="AQ59" s="560"/>
      <c r="AR59" s="560" t="s">
        <v>924</v>
      </c>
      <c r="AS59" s="560"/>
      <c r="AT59" s="560"/>
      <c r="AU59" s="560" t="s">
        <v>131</v>
      </c>
      <c r="AV59" s="560"/>
      <c r="AW59" s="560" t="s">
        <v>128</v>
      </c>
      <c r="AX59" s="561"/>
    </row>
    <row r="60" spans="1:50" x14ac:dyDescent="0.25">
      <c r="A60" s="562"/>
      <c r="B60" s="529"/>
      <c r="C60" s="529"/>
      <c r="D60" s="529"/>
      <c r="E60" s="529"/>
      <c r="F60" s="529"/>
      <c r="G60" s="529"/>
      <c r="H60" s="529"/>
      <c r="I60" s="529"/>
      <c r="J60" s="529"/>
      <c r="K60" s="529"/>
      <c r="L60" s="529"/>
      <c r="M60" s="529"/>
      <c r="N60" s="529"/>
      <c r="O60" s="529"/>
      <c r="P60" s="529"/>
      <c r="Q60" s="529"/>
      <c r="R60" s="529"/>
      <c r="S60" s="564"/>
      <c r="T60" s="529"/>
      <c r="U60" s="529"/>
      <c r="V60" s="529"/>
      <c r="W60" s="529"/>
      <c r="X60" s="564"/>
      <c r="Y60" s="530"/>
      <c r="Z60" s="562"/>
      <c r="AA60" s="529"/>
      <c r="AB60" s="529"/>
      <c r="AC60" s="529"/>
      <c r="AD60" s="529"/>
      <c r="AE60" s="529"/>
      <c r="AF60" s="529"/>
      <c r="AG60" s="529"/>
      <c r="AH60" s="529"/>
      <c r="AI60" s="529"/>
      <c r="AJ60" s="529"/>
      <c r="AK60" s="529"/>
      <c r="AL60" s="529"/>
      <c r="AM60" s="529"/>
      <c r="AN60" s="529"/>
      <c r="AO60" s="529"/>
      <c r="AP60" s="529"/>
      <c r="AQ60" s="529"/>
      <c r="AR60" s="564"/>
      <c r="AS60" s="529"/>
      <c r="AT60" s="529"/>
      <c r="AU60" s="529"/>
      <c r="AV60" s="529"/>
      <c r="AW60" s="564"/>
      <c r="AX60" s="530"/>
    </row>
    <row r="61" spans="1:50" x14ac:dyDescent="0.25">
      <c r="A61" s="562"/>
      <c r="B61" s="529"/>
      <c r="C61" s="529"/>
      <c r="D61" s="529"/>
      <c r="E61" s="529"/>
      <c r="F61" s="529"/>
      <c r="G61" s="529"/>
      <c r="H61" s="529"/>
      <c r="I61" s="529"/>
      <c r="J61" s="529"/>
      <c r="K61" s="529"/>
      <c r="L61" s="529"/>
      <c r="M61" s="529"/>
      <c r="N61" s="529"/>
      <c r="O61" s="529"/>
      <c r="P61" s="529"/>
      <c r="Q61" s="529"/>
      <c r="R61" s="529"/>
      <c r="S61" s="564"/>
      <c r="T61" s="529"/>
      <c r="U61" s="529"/>
      <c r="V61" s="529"/>
      <c r="W61" s="529"/>
      <c r="X61" s="564"/>
      <c r="Y61" s="530"/>
      <c r="Z61" s="562"/>
      <c r="AA61" s="529"/>
      <c r="AB61" s="529"/>
      <c r="AC61" s="529"/>
      <c r="AD61" s="529"/>
      <c r="AE61" s="529"/>
      <c r="AF61" s="529"/>
      <c r="AG61" s="529"/>
      <c r="AH61" s="529"/>
      <c r="AI61" s="529"/>
      <c r="AJ61" s="529"/>
      <c r="AK61" s="529"/>
      <c r="AL61" s="529"/>
      <c r="AM61" s="529"/>
      <c r="AN61" s="529"/>
      <c r="AO61" s="529"/>
      <c r="AP61" s="529"/>
      <c r="AQ61" s="529"/>
      <c r="AR61" s="564"/>
      <c r="AS61" s="529"/>
      <c r="AT61" s="529"/>
      <c r="AU61" s="529"/>
      <c r="AV61" s="529"/>
      <c r="AW61" s="564"/>
      <c r="AX61" s="530"/>
    </row>
    <row r="62" spans="1:50" x14ac:dyDescent="0.25">
      <c r="A62" s="562"/>
      <c r="B62" s="529"/>
      <c r="C62" s="529"/>
      <c r="D62" s="529"/>
      <c r="E62" s="529"/>
      <c r="F62" s="529"/>
      <c r="G62" s="529"/>
      <c r="H62" s="529"/>
      <c r="I62" s="529"/>
      <c r="J62" s="529"/>
      <c r="K62" s="529"/>
      <c r="L62" s="529"/>
      <c r="M62" s="529"/>
      <c r="N62" s="529"/>
      <c r="O62" s="529"/>
      <c r="P62" s="529"/>
      <c r="Q62" s="529"/>
      <c r="R62" s="529"/>
      <c r="S62" s="529"/>
      <c r="T62" s="529"/>
      <c r="U62" s="529"/>
      <c r="V62" s="529"/>
      <c r="W62" s="529"/>
      <c r="X62" s="529"/>
      <c r="Y62" s="530"/>
      <c r="Z62" s="562"/>
      <c r="AA62" s="529"/>
      <c r="AB62" s="529"/>
      <c r="AC62" s="529"/>
      <c r="AD62" s="529"/>
      <c r="AE62" s="529"/>
      <c r="AF62" s="529"/>
      <c r="AG62" s="529"/>
      <c r="AH62" s="529"/>
      <c r="AI62" s="529"/>
      <c r="AJ62" s="529"/>
      <c r="AK62" s="529"/>
      <c r="AL62" s="529"/>
      <c r="AM62" s="529"/>
      <c r="AN62" s="529"/>
      <c r="AO62" s="529"/>
      <c r="AP62" s="529"/>
      <c r="AQ62" s="529"/>
      <c r="AR62" s="529"/>
      <c r="AS62" s="529"/>
      <c r="AT62" s="529"/>
      <c r="AU62" s="529"/>
      <c r="AV62" s="529"/>
      <c r="AW62" s="529"/>
      <c r="AX62" s="530"/>
    </row>
    <row r="63" spans="1:50" x14ac:dyDescent="0.25">
      <c r="A63" s="562"/>
      <c r="B63" s="529"/>
      <c r="C63" s="529"/>
      <c r="D63" s="529"/>
      <c r="E63" s="529"/>
      <c r="F63" s="529"/>
      <c r="G63" s="529"/>
      <c r="H63" s="529"/>
      <c r="I63" s="529"/>
      <c r="J63" s="529"/>
      <c r="K63" s="529"/>
      <c r="L63" s="529"/>
      <c r="M63" s="529"/>
      <c r="N63" s="529"/>
      <c r="O63" s="529"/>
      <c r="P63" s="529"/>
      <c r="Q63" s="529"/>
      <c r="R63" s="529"/>
      <c r="S63" s="529"/>
      <c r="T63" s="529"/>
      <c r="U63" s="529"/>
      <c r="V63" s="529"/>
      <c r="W63" s="529"/>
      <c r="X63" s="529"/>
      <c r="Y63" s="530"/>
      <c r="Z63" s="562"/>
      <c r="AA63" s="529"/>
      <c r="AB63" s="529"/>
      <c r="AC63" s="529"/>
      <c r="AD63" s="529"/>
      <c r="AE63" s="529"/>
      <c r="AF63" s="529"/>
      <c r="AG63" s="529"/>
      <c r="AH63" s="529"/>
      <c r="AI63" s="529"/>
      <c r="AJ63" s="529"/>
      <c r="AK63" s="529"/>
      <c r="AL63" s="529"/>
      <c r="AM63" s="529"/>
      <c r="AN63" s="529"/>
      <c r="AO63" s="529"/>
      <c r="AP63" s="529"/>
      <c r="AQ63" s="529"/>
      <c r="AR63" s="529"/>
      <c r="AS63" s="529"/>
      <c r="AT63" s="529"/>
      <c r="AU63" s="529"/>
      <c r="AV63" s="529"/>
      <c r="AW63" s="529"/>
      <c r="AX63" s="530"/>
    </row>
    <row r="64" spans="1:50" x14ac:dyDescent="0.25">
      <c r="A64" s="562"/>
      <c r="B64" s="529"/>
      <c r="C64" s="529"/>
      <c r="D64" s="529"/>
      <c r="E64" s="529"/>
      <c r="F64" s="529"/>
      <c r="G64" s="529"/>
      <c r="H64" s="529"/>
      <c r="I64" s="529"/>
      <c r="J64" s="529"/>
      <c r="K64" s="529"/>
      <c r="L64" s="529"/>
      <c r="M64" s="529"/>
      <c r="N64" s="529"/>
      <c r="O64" s="529"/>
      <c r="P64" s="529"/>
      <c r="Q64" s="529"/>
      <c r="R64" s="529"/>
      <c r="S64" s="529"/>
      <c r="T64" s="529"/>
      <c r="U64" s="529"/>
      <c r="V64" s="529"/>
      <c r="W64" s="529"/>
      <c r="X64" s="529"/>
      <c r="Y64" s="530"/>
      <c r="Z64" s="562"/>
      <c r="AA64" s="529"/>
      <c r="AB64" s="529"/>
      <c r="AC64" s="529"/>
      <c r="AD64" s="529"/>
      <c r="AE64" s="529"/>
      <c r="AF64" s="529"/>
      <c r="AG64" s="529"/>
      <c r="AH64" s="529"/>
      <c r="AI64" s="529"/>
      <c r="AJ64" s="529"/>
      <c r="AK64" s="529"/>
      <c r="AL64" s="529"/>
      <c r="AM64" s="529"/>
      <c r="AN64" s="529"/>
      <c r="AO64" s="529"/>
      <c r="AP64" s="529"/>
      <c r="AQ64" s="529"/>
      <c r="AR64" s="529"/>
      <c r="AS64" s="529"/>
      <c r="AT64" s="529"/>
      <c r="AU64" s="529"/>
      <c r="AV64" s="529"/>
      <c r="AW64" s="529"/>
      <c r="AX64" s="530"/>
    </row>
    <row r="65" spans="1:50" x14ac:dyDescent="0.25">
      <c r="A65" s="562"/>
      <c r="B65" s="529"/>
      <c r="C65" s="529"/>
      <c r="D65" s="529"/>
      <c r="E65" s="529"/>
      <c r="F65" s="529"/>
      <c r="G65" s="529"/>
      <c r="H65" s="529"/>
      <c r="I65" s="529"/>
      <c r="J65" s="529"/>
      <c r="K65" s="529"/>
      <c r="L65" s="529"/>
      <c r="M65" s="529"/>
      <c r="N65" s="529"/>
      <c r="O65" s="529"/>
      <c r="P65" s="529"/>
      <c r="Q65" s="529"/>
      <c r="R65" s="529"/>
      <c r="S65" s="529"/>
      <c r="T65" s="529"/>
      <c r="U65" s="529"/>
      <c r="V65" s="529"/>
      <c r="W65" s="529"/>
      <c r="X65" s="529"/>
      <c r="Y65" s="530"/>
      <c r="Z65" s="562"/>
      <c r="AA65" s="529"/>
      <c r="AB65" s="529"/>
      <c r="AC65" s="529"/>
      <c r="AD65" s="529"/>
      <c r="AE65" s="529"/>
      <c r="AF65" s="529"/>
      <c r="AG65" s="529"/>
      <c r="AH65" s="529"/>
      <c r="AI65" s="529"/>
      <c r="AJ65" s="529"/>
      <c r="AK65" s="529"/>
      <c r="AL65" s="529"/>
      <c r="AM65" s="529"/>
      <c r="AN65" s="529"/>
      <c r="AO65" s="529"/>
      <c r="AP65" s="529"/>
      <c r="AQ65" s="529"/>
      <c r="AR65" s="529"/>
      <c r="AS65" s="529"/>
      <c r="AT65" s="529"/>
      <c r="AU65" s="529"/>
      <c r="AV65" s="529"/>
      <c r="AW65" s="529"/>
      <c r="AX65" s="530"/>
    </row>
    <row r="66" spans="1:50" x14ac:dyDescent="0.25">
      <c r="A66" s="562"/>
      <c r="B66" s="529"/>
      <c r="C66" s="529"/>
      <c r="D66" s="529"/>
      <c r="E66" s="529"/>
      <c r="F66" s="529"/>
      <c r="G66" s="529"/>
      <c r="H66" s="529"/>
      <c r="I66" s="529"/>
      <c r="J66" s="529"/>
      <c r="K66" s="529"/>
      <c r="L66" s="529"/>
      <c r="M66" s="529"/>
      <c r="N66" s="529"/>
      <c r="O66" s="529"/>
      <c r="P66" s="529"/>
      <c r="Q66" s="529"/>
      <c r="R66" s="529"/>
      <c r="S66" s="529"/>
      <c r="T66" s="529"/>
      <c r="U66" s="529"/>
      <c r="V66" s="529"/>
      <c r="W66" s="529"/>
      <c r="X66" s="529"/>
      <c r="Y66" s="530"/>
      <c r="Z66" s="562"/>
      <c r="AA66" s="529"/>
      <c r="AB66" s="529"/>
      <c r="AC66" s="529"/>
      <c r="AD66" s="529"/>
      <c r="AE66" s="529"/>
      <c r="AF66" s="529"/>
      <c r="AG66" s="529"/>
      <c r="AH66" s="529"/>
      <c r="AI66" s="529"/>
      <c r="AJ66" s="529"/>
      <c r="AK66" s="529"/>
      <c r="AL66" s="529"/>
      <c r="AM66" s="529"/>
      <c r="AN66" s="529"/>
      <c r="AO66" s="529"/>
      <c r="AP66" s="529"/>
      <c r="AQ66" s="529"/>
      <c r="AR66" s="529"/>
      <c r="AS66" s="529"/>
      <c r="AT66" s="529"/>
      <c r="AU66" s="529"/>
      <c r="AV66" s="529"/>
      <c r="AW66" s="529"/>
      <c r="AX66" s="530"/>
    </row>
    <row r="67" spans="1:50" x14ac:dyDescent="0.25">
      <c r="A67" s="559" t="s">
        <v>925</v>
      </c>
      <c r="B67" s="560"/>
      <c r="C67" s="560"/>
      <c r="D67" s="560"/>
      <c r="E67" s="560"/>
      <c r="F67" s="560"/>
      <c r="G67" s="560"/>
      <c r="H67" s="560"/>
      <c r="I67" s="560"/>
      <c r="J67" s="560"/>
      <c r="K67" s="560"/>
      <c r="L67" s="560"/>
      <c r="M67" s="560"/>
      <c r="N67" s="560"/>
      <c r="O67" s="560"/>
      <c r="P67" s="560" t="s">
        <v>926</v>
      </c>
      <c r="Q67" s="560"/>
      <c r="R67" s="560"/>
      <c r="S67" s="560"/>
      <c r="T67" s="560"/>
      <c r="U67" s="560"/>
      <c r="V67" s="560"/>
      <c r="W67" s="560"/>
      <c r="X67" s="560"/>
      <c r="Y67" s="561"/>
      <c r="Z67" s="559" t="s">
        <v>925</v>
      </c>
      <c r="AA67" s="560"/>
      <c r="AB67" s="560"/>
      <c r="AC67" s="560"/>
      <c r="AD67" s="560"/>
      <c r="AE67" s="560"/>
      <c r="AF67" s="560"/>
      <c r="AG67" s="560"/>
      <c r="AH67" s="560"/>
      <c r="AI67" s="560"/>
      <c r="AJ67" s="560"/>
      <c r="AK67" s="560"/>
      <c r="AL67" s="560"/>
      <c r="AM67" s="560"/>
      <c r="AN67" s="560"/>
      <c r="AO67" s="560" t="s">
        <v>926</v>
      </c>
      <c r="AP67" s="560"/>
      <c r="AQ67" s="560"/>
      <c r="AR67" s="560"/>
      <c r="AS67" s="560"/>
      <c r="AT67" s="560"/>
      <c r="AU67" s="560"/>
      <c r="AV67" s="560"/>
      <c r="AW67" s="560"/>
      <c r="AX67" s="561"/>
    </row>
    <row r="68" spans="1:50" x14ac:dyDescent="0.25">
      <c r="A68" s="562"/>
      <c r="B68" s="529"/>
      <c r="C68" s="529"/>
      <c r="D68" s="529"/>
      <c r="E68" s="529"/>
      <c r="F68" s="529"/>
      <c r="G68" s="529"/>
      <c r="H68" s="529"/>
      <c r="I68" s="529"/>
      <c r="J68" s="529"/>
      <c r="K68" s="529"/>
      <c r="L68" s="529"/>
      <c r="M68" s="529"/>
      <c r="N68" s="529"/>
      <c r="O68" s="529"/>
      <c r="P68" s="529"/>
      <c r="Q68" s="529"/>
      <c r="R68" s="529"/>
      <c r="S68" s="529"/>
      <c r="T68" s="529"/>
      <c r="U68" s="529"/>
      <c r="V68" s="529"/>
      <c r="W68" s="529"/>
      <c r="X68" s="529"/>
      <c r="Y68" s="530"/>
      <c r="Z68" s="562"/>
      <c r="AA68" s="529"/>
      <c r="AB68" s="529"/>
      <c r="AC68" s="529"/>
      <c r="AD68" s="529"/>
      <c r="AE68" s="529"/>
      <c r="AF68" s="529"/>
      <c r="AG68" s="529"/>
      <c r="AH68" s="529"/>
      <c r="AI68" s="529"/>
      <c r="AJ68" s="529"/>
      <c r="AK68" s="529"/>
      <c r="AL68" s="529"/>
      <c r="AM68" s="529"/>
      <c r="AN68" s="529"/>
      <c r="AO68" s="529"/>
      <c r="AP68" s="529"/>
      <c r="AQ68" s="529"/>
      <c r="AR68" s="529"/>
      <c r="AS68" s="529"/>
      <c r="AT68" s="529"/>
      <c r="AU68" s="529"/>
      <c r="AV68" s="529"/>
      <c r="AW68" s="529"/>
      <c r="AX68" s="530"/>
    </row>
    <row r="69" spans="1:50" x14ac:dyDescent="0.25">
      <c r="A69" s="562"/>
      <c r="B69" s="529"/>
      <c r="C69" s="529"/>
      <c r="D69" s="529"/>
      <c r="E69" s="529"/>
      <c r="F69" s="529"/>
      <c r="G69" s="529"/>
      <c r="H69" s="529"/>
      <c r="I69" s="529"/>
      <c r="J69" s="529"/>
      <c r="K69" s="529"/>
      <c r="L69" s="529"/>
      <c r="M69" s="529"/>
      <c r="N69" s="529"/>
      <c r="O69" s="529"/>
      <c r="P69" s="529"/>
      <c r="Q69" s="529"/>
      <c r="R69" s="529"/>
      <c r="S69" s="529"/>
      <c r="T69" s="529"/>
      <c r="U69" s="529"/>
      <c r="V69" s="529"/>
      <c r="W69" s="529"/>
      <c r="X69" s="529"/>
      <c r="Y69" s="530"/>
      <c r="Z69" s="562"/>
      <c r="AA69" s="529"/>
      <c r="AB69" s="529"/>
      <c r="AC69" s="529"/>
      <c r="AD69" s="529"/>
      <c r="AE69" s="529"/>
      <c r="AF69" s="529"/>
      <c r="AG69" s="529"/>
      <c r="AH69" s="529"/>
      <c r="AI69" s="529"/>
      <c r="AJ69" s="529"/>
      <c r="AK69" s="529"/>
      <c r="AL69" s="529"/>
      <c r="AM69" s="529"/>
      <c r="AN69" s="529"/>
      <c r="AO69" s="529"/>
      <c r="AP69" s="529"/>
      <c r="AQ69" s="529"/>
      <c r="AR69" s="529"/>
      <c r="AS69" s="529"/>
      <c r="AT69" s="529"/>
      <c r="AU69" s="529"/>
      <c r="AV69" s="529"/>
      <c r="AW69" s="529"/>
      <c r="AX69" s="530"/>
    </row>
    <row r="70" spans="1:50" x14ac:dyDescent="0.25">
      <c r="A70" s="562"/>
      <c r="B70" s="529"/>
      <c r="C70" s="529"/>
      <c r="D70" s="529"/>
      <c r="E70" s="529"/>
      <c r="F70" s="529"/>
      <c r="G70" s="529"/>
      <c r="H70" s="529"/>
      <c r="I70" s="529"/>
      <c r="J70" s="529"/>
      <c r="K70" s="529"/>
      <c r="L70" s="529"/>
      <c r="M70" s="529"/>
      <c r="N70" s="529"/>
      <c r="O70" s="529"/>
      <c r="P70" s="529"/>
      <c r="Q70" s="529"/>
      <c r="R70" s="529"/>
      <c r="S70" s="529"/>
      <c r="T70" s="529"/>
      <c r="U70" s="529"/>
      <c r="V70" s="529"/>
      <c r="W70" s="529"/>
      <c r="X70" s="529"/>
      <c r="Y70" s="530"/>
      <c r="Z70" s="562"/>
      <c r="AA70" s="529"/>
      <c r="AB70" s="529"/>
      <c r="AC70" s="529"/>
      <c r="AD70" s="529"/>
      <c r="AE70" s="529"/>
      <c r="AF70" s="529"/>
      <c r="AG70" s="529"/>
      <c r="AH70" s="529"/>
      <c r="AI70" s="529"/>
      <c r="AJ70" s="529"/>
      <c r="AK70" s="529"/>
      <c r="AL70" s="529"/>
      <c r="AM70" s="529"/>
      <c r="AN70" s="529"/>
      <c r="AO70" s="529"/>
      <c r="AP70" s="529"/>
      <c r="AQ70" s="529"/>
      <c r="AR70" s="529"/>
      <c r="AS70" s="529"/>
      <c r="AT70" s="529"/>
      <c r="AU70" s="529"/>
      <c r="AV70" s="529"/>
      <c r="AW70" s="529"/>
      <c r="AX70" s="530"/>
    </row>
    <row r="71" spans="1:50" x14ac:dyDescent="0.25">
      <c r="A71" s="562"/>
      <c r="B71" s="529"/>
      <c r="C71" s="529"/>
      <c r="D71" s="529"/>
      <c r="E71" s="529"/>
      <c r="F71" s="529"/>
      <c r="G71" s="529"/>
      <c r="H71" s="529"/>
      <c r="I71" s="529"/>
      <c r="J71" s="529"/>
      <c r="K71" s="529"/>
      <c r="L71" s="529"/>
      <c r="M71" s="529"/>
      <c r="N71" s="529"/>
      <c r="O71" s="529"/>
      <c r="P71" s="529"/>
      <c r="Q71" s="529"/>
      <c r="R71" s="529"/>
      <c r="S71" s="529"/>
      <c r="T71" s="529"/>
      <c r="U71" s="529"/>
      <c r="V71" s="529"/>
      <c r="W71" s="529"/>
      <c r="X71" s="529"/>
      <c r="Y71" s="530"/>
      <c r="Z71" s="562"/>
      <c r="AA71" s="529"/>
      <c r="AB71" s="529"/>
      <c r="AC71" s="529"/>
      <c r="AD71" s="529"/>
      <c r="AE71" s="529"/>
      <c r="AF71" s="529"/>
      <c r="AG71" s="529"/>
      <c r="AH71" s="529"/>
      <c r="AI71" s="529"/>
      <c r="AJ71" s="529"/>
      <c r="AK71" s="529"/>
      <c r="AL71" s="529"/>
      <c r="AM71" s="529"/>
      <c r="AN71" s="529"/>
      <c r="AO71" s="529"/>
      <c r="AP71" s="529"/>
      <c r="AQ71" s="529"/>
      <c r="AR71" s="529"/>
      <c r="AS71" s="529"/>
      <c r="AT71" s="529"/>
      <c r="AU71" s="529"/>
      <c r="AV71" s="529"/>
      <c r="AW71" s="529"/>
      <c r="AX71" s="530"/>
    </row>
    <row r="72" spans="1:50" ht="15.75" thickBot="1" x14ac:dyDescent="0.3">
      <c r="A72" s="563"/>
      <c r="B72" s="531"/>
      <c r="C72" s="531"/>
      <c r="D72" s="531"/>
      <c r="E72" s="531"/>
      <c r="F72" s="531"/>
      <c r="G72" s="531"/>
      <c r="H72" s="531"/>
      <c r="I72" s="531"/>
      <c r="J72" s="531"/>
      <c r="K72" s="531"/>
      <c r="L72" s="531"/>
      <c r="M72" s="531"/>
      <c r="N72" s="531"/>
      <c r="O72" s="531"/>
      <c r="P72" s="531"/>
      <c r="Q72" s="531"/>
      <c r="R72" s="531"/>
      <c r="S72" s="531"/>
      <c r="T72" s="531"/>
      <c r="U72" s="531"/>
      <c r="V72" s="531"/>
      <c r="W72" s="531"/>
      <c r="X72" s="531"/>
      <c r="Y72" s="532"/>
      <c r="Z72" s="563"/>
      <c r="AA72" s="531"/>
      <c r="AB72" s="531"/>
      <c r="AC72" s="531"/>
      <c r="AD72" s="531"/>
      <c r="AE72" s="531"/>
      <c r="AF72" s="531"/>
      <c r="AG72" s="531"/>
      <c r="AH72" s="531"/>
      <c r="AI72" s="531"/>
      <c r="AJ72" s="531"/>
      <c r="AK72" s="531"/>
      <c r="AL72" s="531"/>
      <c r="AM72" s="531"/>
      <c r="AN72" s="531"/>
      <c r="AO72" s="531"/>
      <c r="AP72" s="531"/>
      <c r="AQ72" s="531"/>
      <c r="AR72" s="531"/>
      <c r="AS72" s="531"/>
      <c r="AT72" s="531"/>
      <c r="AU72" s="531"/>
      <c r="AV72" s="531"/>
      <c r="AW72" s="531"/>
      <c r="AX72" s="532"/>
    </row>
    <row r="73" spans="1:50" x14ac:dyDescent="0.25">
      <c r="A73" s="565" t="s">
        <v>75</v>
      </c>
      <c r="B73" s="566"/>
      <c r="C73" s="566"/>
      <c r="D73" s="527"/>
      <c r="E73" s="527"/>
      <c r="F73" s="527"/>
      <c r="G73" s="527"/>
      <c r="H73" s="527"/>
      <c r="I73" s="527"/>
      <c r="J73" s="527"/>
      <c r="K73" s="527"/>
      <c r="L73" s="527"/>
      <c r="M73" s="527"/>
      <c r="N73" s="566" t="s">
        <v>911</v>
      </c>
      <c r="O73" s="566"/>
      <c r="P73" s="527"/>
      <c r="Q73" s="527"/>
      <c r="R73" s="566" t="s">
        <v>914</v>
      </c>
      <c r="S73" s="566"/>
      <c r="T73" s="527"/>
      <c r="U73" s="527"/>
      <c r="V73" s="566" t="s">
        <v>917</v>
      </c>
      <c r="W73" s="566"/>
      <c r="X73" s="527"/>
      <c r="Y73" s="528"/>
      <c r="Z73" s="565" t="s">
        <v>75</v>
      </c>
      <c r="AA73" s="566"/>
      <c r="AB73" s="566"/>
      <c r="AC73" s="527"/>
      <c r="AD73" s="527"/>
      <c r="AE73" s="527"/>
      <c r="AF73" s="527"/>
      <c r="AG73" s="527"/>
      <c r="AH73" s="527"/>
      <c r="AI73" s="527"/>
      <c r="AJ73" s="527"/>
      <c r="AK73" s="527"/>
      <c r="AL73" s="527"/>
      <c r="AM73" s="566" t="s">
        <v>911</v>
      </c>
      <c r="AN73" s="566"/>
      <c r="AO73" s="527"/>
      <c r="AP73" s="527"/>
      <c r="AQ73" s="566" t="s">
        <v>914</v>
      </c>
      <c r="AR73" s="566"/>
      <c r="AS73" s="527"/>
      <c r="AT73" s="527"/>
      <c r="AU73" s="566" t="s">
        <v>917</v>
      </c>
      <c r="AV73" s="566"/>
      <c r="AW73" s="527"/>
      <c r="AX73" s="528"/>
    </row>
    <row r="74" spans="1:50" x14ac:dyDescent="0.25">
      <c r="A74" s="559" t="s">
        <v>0</v>
      </c>
      <c r="B74" s="560"/>
      <c r="C74" s="560"/>
      <c r="D74" s="529"/>
      <c r="E74" s="529"/>
      <c r="F74" s="529"/>
      <c r="G74" s="529"/>
      <c r="H74" s="529"/>
      <c r="I74" s="529"/>
      <c r="J74" s="529"/>
      <c r="K74" s="529"/>
      <c r="L74" s="529"/>
      <c r="M74" s="529"/>
      <c r="N74" s="560" t="s">
        <v>912</v>
      </c>
      <c r="O74" s="560" t="s">
        <v>912</v>
      </c>
      <c r="P74" s="529"/>
      <c r="Q74" s="529"/>
      <c r="R74" s="560" t="s">
        <v>915</v>
      </c>
      <c r="S74" s="560"/>
      <c r="T74" s="529"/>
      <c r="U74" s="529"/>
      <c r="V74" s="560" t="s">
        <v>918</v>
      </c>
      <c r="W74" s="560"/>
      <c r="X74" s="529"/>
      <c r="Y74" s="530"/>
      <c r="Z74" s="559" t="s">
        <v>0</v>
      </c>
      <c r="AA74" s="560"/>
      <c r="AB74" s="560"/>
      <c r="AC74" s="529"/>
      <c r="AD74" s="529"/>
      <c r="AE74" s="529"/>
      <c r="AF74" s="529"/>
      <c r="AG74" s="529"/>
      <c r="AH74" s="529"/>
      <c r="AI74" s="529"/>
      <c r="AJ74" s="529"/>
      <c r="AK74" s="529"/>
      <c r="AL74" s="529"/>
      <c r="AM74" s="560" t="s">
        <v>912</v>
      </c>
      <c r="AN74" s="560" t="s">
        <v>912</v>
      </c>
      <c r="AO74" s="529"/>
      <c r="AP74" s="529"/>
      <c r="AQ74" s="560" t="s">
        <v>915</v>
      </c>
      <c r="AR74" s="560"/>
      <c r="AS74" s="529"/>
      <c r="AT74" s="529"/>
      <c r="AU74" s="560" t="s">
        <v>918</v>
      </c>
      <c r="AV74" s="560"/>
      <c r="AW74" s="529"/>
      <c r="AX74" s="530"/>
    </row>
    <row r="75" spans="1:50" x14ac:dyDescent="0.25">
      <c r="A75" s="559" t="s">
        <v>77</v>
      </c>
      <c r="B75" s="560"/>
      <c r="C75" s="560"/>
      <c r="D75" s="529"/>
      <c r="E75" s="529"/>
      <c r="F75" s="529"/>
      <c r="G75" s="529"/>
      <c r="H75" s="529"/>
      <c r="I75" s="529"/>
      <c r="J75" s="529"/>
      <c r="K75" s="529"/>
      <c r="L75" s="529"/>
      <c r="M75" s="529"/>
      <c r="N75" s="560" t="s">
        <v>913</v>
      </c>
      <c r="O75" s="560"/>
      <c r="P75" s="529"/>
      <c r="Q75" s="529"/>
      <c r="R75" s="560" t="s">
        <v>916</v>
      </c>
      <c r="S75" s="560"/>
      <c r="T75" s="529"/>
      <c r="U75" s="529"/>
      <c r="V75" s="560" t="s">
        <v>919</v>
      </c>
      <c r="W75" s="560"/>
      <c r="X75" s="529"/>
      <c r="Y75" s="530"/>
      <c r="Z75" s="559" t="s">
        <v>77</v>
      </c>
      <c r="AA75" s="560"/>
      <c r="AB75" s="560"/>
      <c r="AC75" s="529"/>
      <c r="AD75" s="529"/>
      <c r="AE75" s="529"/>
      <c r="AF75" s="529"/>
      <c r="AG75" s="529"/>
      <c r="AH75" s="529"/>
      <c r="AI75" s="529"/>
      <c r="AJ75" s="529"/>
      <c r="AK75" s="529"/>
      <c r="AL75" s="529"/>
      <c r="AM75" s="560" t="s">
        <v>913</v>
      </c>
      <c r="AN75" s="560"/>
      <c r="AO75" s="529"/>
      <c r="AP75" s="529"/>
      <c r="AQ75" s="560" t="s">
        <v>916</v>
      </c>
      <c r="AR75" s="560"/>
      <c r="AS75" s="529"/>
      <c r="AT75" s="529"/>
      <c r="AU75" s="560" t="s">
        <v>919</v>
      </c>
      <c r="AV75" s="560"/>
      <c r="AW75" s="529"/>
      <c r="AX75" s="530"/>
    </row>
    <row r="76" spans="1:50" x14ac:dyDescent="0.25">
      <c r="A76" s="559" t="s">
        <v>31</v>
      </c>
      <c r="B76" s="560"/>
      <c r="C76" s="560"/>
      <c r="D76" s="560"/>
      <c r="E76" s="529"/>
      <c r="F76" s="529"/>
      <c r="G76" s="560" t="s">
        <v>922</v>
      </c>
      <c r="H76" s="560"/>
      <c r="I76" s="560"/>
      <c r="J76" s="560"/>
      <c r="K76" s="560"/>
      <c r="L76" s="560"/>
      <c r="M76" s="560" t="s">
        <v>69</v>
      </c>
      <c r="N76" s="560"/>
      <c r="O76" s="560"/>
      <c r="P76" s="560"/>
      <c r="Q76" s="560"/>
      <c r="R76" s="560"/>
      <c r="S76" s="560"/>
      <c r="T76" s="560"/>
      <c r="U76" s="560"/>
      <c r="V76" s="560"/>
      <c r="W76" s="560"/>
      <c r="X76" s="560"/>
      <c r="Y76" s="561"/>
      <c r="Z76" s="559" t="s">
        <v>31</v>
      </c>
      <c r="AA76" s="560"/>
      <c r="AB76" s="560"/>
      <c r="AC76" s="560"/>
      <c r="AD76" s="529"/>
      <c r="AE76" s="529"/>
      <c r="AF76" s="560" t="s">
        <v>922</v>
      </c>
      <c r="AG76" s="560"/>
      <c r="AH76" s="560"/>
      <c r="AI76" s="560"/>
      <c r="AJ76" s="560"/>
      <c r="AK76" s="560"/>
      <c r="AL76" s="560" t="s">
        <v>69</v>
      </c>
      <c r="AM76" s="560"/>
      <c r="AN76" s="560"/>
      <c r="AO76" s="560"/>
      <c r="AP76" s="560"/>
      <c r="AQ76" s="560"/>
      <c r="AR76" s="560"/>
      <c r="AS76" s="560"/>
      <c r="AT76" s="560"/>
      <c r="AU76" s="560"/>
      <c r="AV76" s="560"/>
      <c r="AW76" s="560"/>
      <c r="AX76" s="561"/>
    </row>
    <row r="77" spans="1:50" x14ac:dyDescent="0.25">
      <c r="A77" s="562"/>
      <c r="B77" s="529"/>
      <c r="C77" s="529"/>
      <c r="D77" s="529"/>
      <c r="E77" s="529"/>
      <c r="F77" s="529"/>
      <c r="G77" s="560" t="s">
        <v>89</v>
      </c>
      <c r="H77" s="560"/>
      <c r="I77" s="560"/>
      <c r="J77" s="560"/>
      <c r="K77" s="529"/>
      <c r="L77" s="529"/>
      <c r="M77" s="529"/>
      <c r="N77" s="529"/>
      <c r="O77" s="529"/>
      <c r="P77" s="529"/>
      <c r="Q77" s="529"/>
      <c r="R77" s="529"/>
      <c r="S77" s="529"/>
      <c r="T77" s="529"/>
      <c r="U77" s="529"/>
      <c r="V77" s="529"/>
      <c r="W77" s="529"/>
      <c r="X77" s="529"/>
      <c r="Y77" s="530"/>
      <c r="Z77" s="562"/>
      <c r="AA77" s="529"/>
      <c r="AB77" s="529"/>
      <c r="AC77" s="529"/>
      <c r="AD77" s="529"/>
      <c r="AE77" s="529"/>
      <c r="AF77" s="560" t="s">
        <v>89</v>
      </c>
      <c r="AG77" s="560"/>
      <c r="AH77" s="560"/>
      <c r="AI77" s="560"/>
      <c r="AJ77" s="529"/>
      <c r="AK77" s="529"/>
      <c r="AL77" s="529"/>
      <c r="AM77" s="529"/>
      <c r="AN77" s="529"/>
      <c r="AO77" s="529"/>
      <c r="AP77" s="529"/>
      <c r="AQ77" s="529"/>
      <c r="AR77" s="529"/>
      <c r="AS77" s="529"/>
      <c r="AT77" s="529"/>
      <c r="AU77" s="529"/>
      <c r="AV77" s="529"/>
      <c r="AW77" s="529"/>
      <c r="AX77" s="530"/>
    </row>
    <row r="78" spans="1:50" x14ac:dyDescent="0.25">
      <c r="A78" s="562"/>
      <c r="B78" s="529"/>
      <c r="C78" s="529"/>
      <c r="D78" s="529"/>
      <c r="E78" s="529"/>
      <c r="F78" s="529"/>
      <c r="G78" s="560" t="s">
        <v>90</v>
      </c>
      <c r="H78" s="560"/>
      <c r="I78" s="560"/>
      <c r="J78" s="560"/>
      <c r="K78" s="529"/>
      <c r="L78" s="529"/>
      <c r="M78" s="529"/>
      <c r="N78" s="529"/>
      <c r="O78" s="529"/>
      <c r="P78" s="529"/>
      <c r="Q78" s="529"/>
      <c r="R78" s="529"/>
      <c r="S78" s="529"/>
      <c r="T78" s="529"/>
      <c r="U78" s="529"/>
      <c r="V78" s="529"/>
      <c r="W78" s="529"/>
      <c r="X78" s="529"/>
      <c r="Y78" s="530"/>
      <c r="Z78" s="562"/>
      <c r="AA78" s="529"/>
      <c r="AB78" s="529"/>
      <c r="AC78" s="529"/>
      <c r="AD78" s="529"/>
      <c r="AE78" s="529"/>
      <c r="AF78" s="560" t="s">
        <v>90</v>
      </c>
      <c r="AG78" s="560"/>
      <c r="AH78" s="560"/>
      <c r="AI78" s="560"/>
      <c r="AJ78" s="529"/>
      <c r="AK78" s="529"/>
      <c r="AL78" s="529"/>
      <c r="AM78" s="529"/>
      <c r="AN78" s="529"/>
      <c r="AO78" s="529"/>
      <c r="AP78" s="529"/>
      <c r="AQ78" s="529"/>
      <c r="AR78" s="529"/>
      <c r="AS78" s="529"/>
      <c r="AT78" s="529"/>
      <c r="AU78" s="529"/>
      <c r="AV78" s="529"/>
      <c r="AW78" s="529"/>
      <c r="AX78" s="530"/>
    </row>
    <row r="79" spans="1:50" x14ac:dyDescent="0.25">
      <c r="A79" s="562"/>
      <c r="B79" s="529"/>
      <c r="C79" s="529"/>
      <c r="D79" s="529"/>
      <c r="E79" s="529"/>
      <c r="F79" s="529"/>
      <c r="G79" s="560" t="s">
        <v>91</v>
      </c>
      <c r="H79" s="560"/>
      <c r="I79" s="560"/>
      <c r="J79" s="560"/>
      <c r="K79" s="529"/>
      <c r="L79" s="529"/>
      <c r="M79" s="529"/>
      <c r="N79" s="529"/>
      <c r="O79" s="529"/>
      <c r="P79" s="529"/>
      <c r="Q79" s="529"/>
      <c r="R79" s="529"/>
      <c r="S79" s="529"/>
      <c r="T79" s="529"/>
      <c r="U79" s="529"/>
      <c r="V79" s="529"/>
      <c r="W79" s="529"/>
      <c r="X79" s="529"/>
      <c r="Y79" s="530"/>
      <c r="Z79" s="562"/>
      <c r="AA79" s="529"/>
      <c r="AB79" s="529"/>
      <c r="AC79" s="529"/>
      <c r="AD79" s="529"/>
      <c r="AE79" s="529"/>
      <c r="AF79" s="560" t="s">
        <v>91</v>
      </c>
      <c r="AG79" s="560"/>
      <c r="AH79" s="560"/>
      <c r="AI79" s="560"/>
      <c r="AJ79" s="529"/>
      <c r="AK79" s="529"/>
      <c r="AL79" s="529"/>
      <c r="AM79" s="529"/>
      <c r="AN79" s="529"/>
      <c r="AO79" s="529"/>
      <c r="AP79" s="529"/>
      <c r="AQ79" s="529"/>
      <c r="AR79" s="529"/>
      <c r="AS79" s="529"/>
      <c r="AT79" s="529"/>
      <c r="AU79" s="529"/>
      <c r="AV79" s="529"/>
      <c r="AW79" s="529"/>
      <c r="AX79" s="530"/>
    </row>
    <row r="80" spans="1:50" x14ac:dyDescent="0.25">
      <c r="A80" s="562"/>
      <c r="B80" s="529"/>
      <c r="C80" s="529"/>
      <c r="D80" s="529"/>
      <c r="E80" s="529"/>
      <c r="F80" s="529"/>
      <c r="G80" s="560" t="s">
        <v>95</v>
      </c>
      <c r="H80" s="560"/>
      <c r="I80" s="560"/>
      <c r="J80" s="560"/>
      <c r="K80" s="529"/>
      <c r="L80" s="529"/>
      <c r="M80" s="529"/>
      <c r="N80" s="529"/>
      <c r="O80" s="529"/>
      <c r="P80" s="529"/>
      <c r="Q80" s="529"/>
      <c r="R80" s="529"/>
      <c r="S80" s="529"/>
      <c r="T80" s="529"/>
      <c r="U80" s="529"/>
      <c r="V80" s="529"/>
      <c r="W80" s="529"/>
      <c r="X80" s="529"/>
      <c r="Y80" s="530"/>
      <c r="Z80" s="562"/>
      <c r="AA80" s="529"/>
      <c r="AB80" s="529"/>
      <c r="AC80" s="529"/>
      <c r="AD80" s="529"/>
      <c r="AE80" s="529"/>
      <c r="AF80" s="560" t="s">
        <v>95</v>
      </c>
      <c r="AG80" s="560"/>
      <c r="AH80" s="560"/>
      <c r="AI80" s="560"/>
      <c r="AJ80" s="529"/>
      <c r="AK80" s="529"/>
      <c r="AL80" s="529"/>
      <c r="AM80" s="529"/>
      <c r="AN80" s="529"/>
      <c r="AO80" s="529"/>
      <c r="AP80" s="529"/>
      <c r="AQ80" s="529"/>
      <c r="AR80" s="529"/>
      <c r="AS80" s="529"/>
      <c r="AT80" s="529"/>
      <c r="AU80" s="529"/>
      <c r="AV80" s="529"/>
      <c r="AW80" s="529"/>
      <c r="AX80" s="530"/>
    </row>
    <row r="81" spans="1:50" x14ac:dyDescent="0.25">
      <c r="A81" s="559" t="s">
        <v>920</v>
      </c>
      <c r="B81" s="560"/>
      <c r="C81" s="560"/>
      <c r="D81" s="560"/>
      <c r="E81" s="529"/>
      <c r="F81" s="529"/>
      <c r="G81" s="560" t="s">
        <v>97</v>
      </c>
      <c r="H81" s="560"/>
      <c r="I81" s="560"/>
      <c r="J81" s="560"/>
      <c r="K81" s="529"/>
      <c r="L81" s="529"/>
      <c r="M81" s="529"/>
      <c r="N81" s="529"/>
      <c r="O81" s="529"/>
      <c r="P81" s="529"/>
      <c r="Q81" s="529"/>
      <c r="R81" s="529"/>
      <c r="S81" s="529"/>
      <c r="T81" s="529"/>
      <c r="U81" s="529"/>
      <c r="V81" s="529"/>
      <c r="W81" s="529"/>
      <c r="X81" s="529"/>
      <c r="Y81" s="530"/>
      <c r="Z81" s="559" t="s">
        <v>920</v>
      </c>
      <c r="AA81" s="560"/>
      <c r="AB81" s="560"/>
      <c r="AC81" s="560"/>
      <c r="AD81" s="529"/>
      <c r="AE81" s="529"/>
      <c r="AF81" s="560" t="s">
        <v>97</v>
      </c>
      <c r="AG81" s="560"/>
      <c r="AH81" s="560"/>
      <c r="AI81" s="560"/>
      <c r="AJ81" s="529"/>
      <c r="AK81" s="529"/>
      <c r="AL81" s="529"/>
      <c r="AM81" s="529"/>
      <c r="AN81" s="529"/>
      <c r="AO81" s="529"/>
      <c r="AP81" s="529"/>
      <c r="AQ81" s="529"/>
      <c r="AR81" s="529"/>
      <c r="AS81" s="529"/>
      <c r="AT81" s="529"/>
      <c r="AU81" s="529"/>
      <c r="AV81" s="529"/>
      <c r="AW81" s="529"/>
      <c r="AX81" s="530"/>
    </row>
    <row r="82" spans="1:50" x14ac:dyDescent="0.25">
      <c r="A82" s="559" t="s">
        <v>60</v>
      </c>
      <c r="B82" s="560"/>
      <c r="C82" s="560"/>
      <c r="D82" s="560"/>
      <c r="E82" s="529"/>
      <c r="F82" s="529"/>
      <c r="G82" s="560" t="s">
        <v>921</v>
      </c>
      <c r="H82" s="560"/>
      <c r="I82" s="560"/>
      <c r="J82" s="560"/>
      <c r="K82" s="529"/>
      <c r="L82" s="529"/>
      <c r="M82" s="560" t="s">
        <v>766</v>
      </c>
      <c r="N82" s="560"/>
      <c r="O82" s="560"/>
      <c r="P82" s="560"/>
      <c r="Q82" s="564"/>
      <c r="R82" s="529"/>
      <c r="S82" s="529"/>
      <c r="T82" s="529"/>
      <c r="U82" s="529"/>
      <c r="V82" s="529"/>
      <c r="W82" s="529"/>
      <c r="X82" s="529"/>
      <c r="Y82" s="530"/>
      <c r="Z82" s="559" t="s">
        <v>60</v>
      </c>
      <c r="AA82" s="560"/>
      <c r="AB82" s="560"/>
      <c r="AC82" s="560"/>
      <c r="AD82" s="529"/>
      <c r="AE82" s="529"/>
      <c r="AF82" s="560" t="s">
        <v>921</v>
      </c>
      <c r="AG82" s="560"/>
      <c r="AH82" s="560"/>
      <c r="AI82" s="560"/>
      <c r="AJ82" s="529"/>
      <c r="AK82" s="529"/>
      <c r="AL82" s="560" t="s">
        <v>766</v>
      </c>
      <c r="AM82" s="560"/>
      <c r="AN82" s="560"/>
      <c r="AO82" s="560"/>
      <c r="AP82" s="564"/>
      <c r="AQ82" s="529"/>
      <c r="AR82" s="529"/>
      <c r="AS82" s="529"/>
      <c r="AT82" s="529"/>
      <c r="AU82" s="529"/>
      <c r="AV82" s="529"/>
      <c r="AW82" s="529"/>
      <c r="AX82" s="530"/>
    </row>
    <row r="83" spans="1:50" x14ac:dyDescent="0.25">
      <c r="A83" s="559" t="s">
        <v>923</v>
      </c>
      <c r="B83" s="560"/>
      <c r="C83" s="560"/>
      <c r="D83" s="560"/>
      <c r="E83" s="560"/>
      <c r="F83" s="560"/>
      <c r="G83" s="560"/>
      <c r="H83" s="560"/>
      <c r="I83" s="560"/>
      <c r="J83" s="560"/>
      <c r="K83" s="560"/>
      <c r="L83" s="560"/>
      <c r="M83" s="560" t="s">
        <v>124</v>
      </c>
      <c r="N83" s="560"/>
      <c r="O83" s="560"/>
      <c r="P83" s="560" t="s">
        <v>125</v>
      </c>
      <c r="Q83" s="560"/>
      <c r="R83" s="560"/>
      <c r="S83" s="560" t="s">
        <v>924</v>
      </c>
      <c r="T83" s="560"/>
      <c r="U83" s="560"/>
      <c r="V83" s="560" t="s">
        <v>131</v>
      </c>
      <c r="W83" s="560"/>
      <c r="X83" s="560" t="s">
        <v>128</v>
      </c>
      <c r="Y83" s="561"/>
      <c r="Z83" s="559" t="s">
        <v>923</v>
      </c>
      <c r="AA83" s="560"/>
      <c r="AB83" s="560"/>
      <c r="AC83" s="560"/>
      <c r="AD83" s="560"/>
      <c r="AE83" s="560"/>
      <c r="AF83" s="560"/>
      <c r="AG83" s="560"/>
      <c r="AH83" s="560"/>
      <c r="AI83" s="560"/>
      <c r="AJ83" s="560"/>
      <c r="AK83" s="560"/>
      <c r="AL83" s="560" t="s">
        <v>124</v>
      </c>
      <c r="AM83" s="560"/>
      <c r="AN83" s="560"/>
      <c r="AO83" s="560" t="s">
        <v>125</v>
      </c>
      <c r="AP83" s="560"/>
      <c r="AQ83" s="560"/>
      <c r="AR83" s="560" t="s">
        <v>924</v>
      </c>
      <c r="AS83" s="560"/>
      <c r="AT83" s="560"/>
      <c r="AU83" s="560" t="s">
        <v>131</v>
      </c>
      <c r="AV83" s="560"/>
      <c r="AW83" s="560" t="s">
        <v>128</v>
      </c>
      <c r="AX83" s="561"/>
    </row>
    <row r="84" spans="1:50" x14ac:dyDescent="0.25">
      <c r="A84" s="562"/>
      <c r="B84" s="529"/>
      <c r="C84" s="529"/>
      <c r="D84" s="529"/>
      <c r="E84" s="529"/>
      <c r="F84" s="529"/>
      <c r="G84" s="529"/>
      <c r="H84" s="529"/>
      <c r="I84" s="529"/>
      <c r="J84" s="529"/>
      <c r="K84" s="529"/>
      <c r="L84" s="529"/>
      <c r="M84" s="529"/>
      <c r="N84" s="529"/>
      <c r="O84" s="529"/>
      <c r="P84" s="529"/>
      <c r="Q84" s="529"/>
      <c r="R84" s="529"/>
      <c r="S84" s="564"/>
      <c r="T84" s="529"/>
      <c r="U84" s="529"/>
      <c r="V84" s="529"/>
      <c r="W84" s="529"/>
      <c r="X84" s="564"/>
      <c r="Y84" s="530"/>
      <c r="Z84" s="562"/>
      <c r="AA84" s="529"/>
      <c r="AB84" s="529"/>
      <c r="AC84" s="529"/>
      <c r="AD84" s="529"/>
      <c r="AE84" s="529"/>
      <c r="AF84" s="529"/>
      <c r="AG84" s="529"/>
      <c r="AH84" s="529"/>
      <c r="AI84" s="529"/>
      <c r="AJ84" s="529"/>
      <c r="AK84" s="529"/>
      <c r="AL84" s="529"/>
      <c r="AM84" s="529"/>
      <c r="AN84" s="529"/>
      <c r="AO84" s="529"/>
      <c r="AP84" s="529"/>
      <c r="AQ84" s="529"/>
      <c r="AR84" s="564"/>
      <c r="AS84" s="529"/>
      <c r="AT84" s="529"/>
      <c r="AU84" s="529"/>
      <c r="AV84" s="529"/>
      <c r="AW84" s="564"/>
      <c r="AX84" s="530"/>
    </row>
    <row r="85" spans="1:50" x14ac:dyDescent="0.25">
      <c r="A85" s="562"/>
      <c r="B85" s="529"/>
      <c r="C85" s="529"/>
      <c r="D85" s="529"/>
      <c r="E85" s="529"/>
      <c r="F85" s="529"/>
      <c r="G85" s="529"/>
      <c r="H85" s="529"/>
      <c r="I85" s="529"/>
      <c r="J85" s="529"/>
      <c r="K85" s="529"/>
      <c r="L85" s="529"/>
      <c r="M85" s="529"/>
      <c r="N85" s="529"/>
      <c r="O85" s="529"/>
      <c r="P85" s="529"/>
      <c r="Q85" s="529"/>
      <c r="R85" s="529"/>
      <c r="S85" s="564"/>
      <c r="T85" s="529"/>
      <c r="U85" s="529"/>
      <c r="V85" s="529"/>
      <c r="W85" s="529"/>
      <c r="X85" s="564"/>
      <c r="Y85" s="530"/>
      <c r="Z85" s="562"/>
      <c r="AA85" s="529"/>
      <c r="AB85" s="529"/>
      <c r="AC85" s="529"/>
      <c r="AD85" s="529"/>
      <c r="AE85" s="529"/>
      <c r="AF85" s="529"/>
      <c r="AG85" s="529"/>
      <c r="AH85" s="529"/>
      <c r="AI85" s="529"/>
      <c r="AJ85" s="529"/>
      <c r="AK85" s="529"/>
      <c r="AL85" s="529"/>
      <c r="AM85" s="529"/>
      <c r="AN85" s="529"/>
      <c r="AO85" s="529"/>
      <c r="AP85" s="529"/>
      <c r="AQ85" s="529"/>
      <c r="AR85" s="564"/>
      <c r="AS85" s="529"/>
      <c r="AT85" s="529"/>
      <c r="AU85" s="529"/>
      <c r="AV85" s="529"/>
      <c r="AW85" s="564"/>
      <c r="AX85" s="530"/>
    </row>
    <row r="86" spans="1:50" x14ac:dyDescent="0.25">
      <c r="A86" s="562"/>
      <c r="B86" s="529"/>
      <c r="C86" s="529"/>
      <c r="D86" s="529"/>
      <c r="E86" s="529"/>
      <c r="F86" s="529"/>
      <c r="G86" s="529"/>
      <c r="H86" s="529"/>
      <c r="I86" s="529"/>
      <c r="J86" s="529"/>
      <c r="K86" s="529"/>
      <c r="L86" s="529"/>
      <c r="M86" s="529"/>
      <c r="N86" s="529"/>
      <c r="O86" s="529"/>
      <c r="P86" s="529"/>
      <c r="Q86" s="529"/>
      <c r="R86" s="529"/>
      <c r="S86" s="529"/>
      <c r="T86" s="529"/>
      <c r="U86" s="529"/>
      <c r="V86" s="529"/>
      <c r="W86" s="529"/>
      <c r="X86" s="529"/>
      <c r="Y86" s="530"/>
      <c r="Z86" s="562"/>
      <c r="AA86" s="529"/>
      <c r="AB86" s="529"/>
      <c r="AC86" s="529"/>
      <c r="AD86" s="529"/>
      <c r="AE86" s="529"/>
      <c r="AF86" s="529"/>
      <c r="AG86" s="529"/>
      <c r="AH86" s="529"/>
      <c r="AI86" s="529"/>
      <c r="AJ86" s="529"/>
      <c r="AK86" s="529"/>
      <c r="AL86" s="529"/>
      <c r="AM86" s="529"/>
      <c r="AN86" s="529"/>
      <c r="AO86" s="529"/>
      <c r="AP86" s="529"/>
      <c r="AQ86" s="529"/>
      <c r="AR86" s="529"/>
      <c r="AS86" s="529"/>
      <c r="AT86" s="529"/>
      <c r="AU86" s="529"/>
      <c r="AV86" s="529"/>
      <c r="AW86" s="529"/>
      <c r="AX86" s="530"/>
    </row>
    <row r="87" spans="1:50" x14ac:dyDescent="0.25">
      <c r="A87" s="562"/>
      <c r="B87" s="529"/>
      <c r="C87" s="529"/>
      <c r="D87" s="529"/>
      <c r="E87" s="529"/>
      <c r="F87" s="529"/>
      <c r="G87" s="529"/>
      <c r="H87" s="529"/>
      <c r="I87" s="529"/>
      <c r="J87" s="529"/>
      <c r="K87" s="529"/>
      <c r="L87" s="529"/>
      <c r="M87" s="529"/>
      <c r="N87" s="529"/>
      <c r="O87" s="529"/>
      <c r="P87" s="529"/>
      <c r="Q87" s="529"/>
      <c r="R87" s="529"/>
      <c r="S87" s="529"/>
      <c r="T87" s="529"/>
      <c r="U87" s="529"/>
      <c r="V87" s="529"/>
      <c r="W87" s="529"/>
      <c r="X87" s="529"/>
      <c r="Y87" s="530"/>
      <c r="Z87" s="562"/>
      <c r="AA87" s="529"/>
      <c r="AB87" s="529"/>
      <c r="AC87" s="529"/>
      <c r="AD87" s="529"/>
      <c r="AE87" s="529"/>
      <c r="AF87" s="529"/>
      <c r="AG87" s="529"/>
      <c r="AH87" s="529"/>
      <c r="AI87" s="529"/>
      <c r="AJ87" s="529"/>
      <c r="AK87" s="529"/>
      <c r="AL87" s="529"/>
      <c r="AM87" s="529"/>
      <c r="AN87" s="529"/>
      <c r="AO87" s="529"/>
      <c r="AP87" s="529"/>
      <c r="AQ87" s="529"/>
      <c r="AR87" s="529"/>
      <c r="AS87" s="529"/>
      <c r="AT87" s="529"/>
      <c r="AU87" s="529"/>
      <c r="AV87" s="529"/>
      <c r="AW87" s="529"/>
      <c r="AX87" s="530"/>
    </row>
    <row r="88" spans="1:50" x14ac:dyDescent="0.25">
      <c r="A88" s="562"/>
      <c r="B88" s="529"/>
      <c r="C88" s="529"/>
      <c r="D88" s="529"/>
      <c r="E88" s="529"/>
      <c r="F88" s="529"/>
      <c r="G88" s="529"/>
      <c r="H88" s="529"/>
      <c r="I88" s="529"/>
      <c r="J88" s="529"/>
      <c r="K88" s="529"/>
      <c r="L88" s="529"/>
      <c r="M88" s="529"/>
      <c r="N88" s="529"/>
      <c r="O88" s="529"/>
      <c r="P88" s="529"/>
      <c r="Q88" s="529"/>
      <c r="R88" s="529"/>
      <c r="S88" s="529"/>
      <c r="T88" s="529"/>
      <c r="U88" s="529"/>
      <c r="V88" s="529"/>
      <c r="W88" s="529"/>
      <c r="X88" s="529"/>
      <c r="Y88" s="530"/>
      <c r="Z88" s="562"/>
      <c r="AA88" s="529"/>
      <c r="AB88" s="529"/>
      <c r="AC88" s="529"/>
      <c r="AD88" s="529"/>
      <c r="AE88" s="529"/>
      <c r="AF88" s="529"/>
      <c r="AG88" s="529"/>
      <c r="AH88" s="529"/>
      <c r="AI88" s="529"/>
      <c r="AJ88" s="529"/>
      <c r="AK88" s="529"/>
      <c r="AL88" s="529"/>
      <c r="AM88" s="529"/>
      <c r="AN88" s="529"/>
      <c r="AO88" s="529"/>
      <c r="AP88" s="529"/>
      <c r="AQ88" s="529"/>
      <c r="AR88" s="529"/>
      <c r="AS88" s="529"/>
      <c r="AT88" s="529"/>
      <c r="AU88" s="529"/>
      <c r="AV88" s="529"/>
      <c r="AW88" s="529"/>
      <c r="AX88" s="530"/>
    </row>
    <row r="89" spans="1:50" x14ac:dyDescent="0.25">
      <c r="A89" s="562"/>
      <c r="B89" s="529"/>
      <c r="C89" s="529"/>
      <c r="D89" s="529"/>
      <c r="E89" s="529"/>
      <c r="F89" s="529"/>
      <c r="G89" s="529"/>
      <c r="H89" s="529"/>
      <c r="I89" s="529"/>
      <c r="J89" s="529"/>
      <c r="K89" s="529"/>
      <c r="L89" s="529"/>
      <c r="M89" s="529"/>
      <c r="N89" s="529"/>
      <c r="O89" s="529"/>
      <c r="P89" s="529"/>
      <c r="Q89" s="529"/>
      <c r="R89" s="529"/>
      <c r="S89" s="529"/>
      <c r="T89" s="529"/>
      <c r="U89" s="529"/>
      <c r="V89" s="529"/>
      <c r="W89" s="529"/>
      <c r="X89" s="529"/>
      <c r="Y89" s="530"/>
      <c r="Z89" s="562"/>
      <c r="AA89" s="529"/>
      <c r="AB89" s="529"/>
      <c r="AC89" s="529"/>
      <c r="AD89" s="529"/>
      <c r="AE89" s="529"/>
      <c r="AF89" s="529"/>
      <c r="AG89" s="529"/>
      <c r="AH89" s="529"/>
      <c r="AI89" s="529"/>
      <c r="AJ89" s="529"/>
      <c r="AK89" s="529"/>
      <c r="AL89" s="529"/>
      <c r="AM89" s="529"/>
      <c r="AN89" s="529"/>
      <c r="AO89" s="529"/>
      <c r="AP89" s="529"/>
      <c r="AQ89" s="529"/>
      <c r="AR89" s="529"/>
      <c r="AS89" s="529"/>
      <c r="AT89" s="529"/>
      <c r="AU89" s="529"/>
      <c r="AV89" s="529"/>
      <c r="AW89" s="529"/>
      <c r="AX89" s="530"/>
    </row>
    <row r="90" spans="1:50" x14ac:dyDescent="0.25">
      <c r="A90" s="562"/>
      <c r="B90" s="529"/>
      <c r="C90" s="529"/>
      <c r="D90" s="529"/>
      <c r="E90" s="529"/>
      <c r="F90" s="529"/>
      <c r="G90" s="529"/>
      <c r="H90" s="529"/>
      <c r="I90" s="529"/>
      <c r="J90" s="529"/>
      <c r="K90" s="529"/>
      <c r="L90" s="529"/>
      <c r="M90" s="529"/>
      <c r="N90" s="529"/>
      <c r="O90" s="529"/>
      <c r="P90" s="529"/>
      <c r="Q90" s="529"/>
      <c r="R90" s="529"/>
      <c r="S90" s="529"/>
      <c r="T90" s="529"/>
      <c r="U90" s="529"/>
      <c r="V90" s="529"/>
      <c r="W90" s="529"/>
      <c r="X90" s="529"/>
      <c r="Y90" s="530"/>
      <c r="Z90" s="562"/>
      <c r="AA90" s="529"/>
      <c r="AB90" s="529"/>
      <c r="AC90" s="529"/>
      <c r="AD90" s="529"/>
      <c r="AE90" s="529"/>
      <c r="AF90" s="529"/>
      <c r="AG90" s="529"/>
      <c r="AH90" s="529"/>
      <c r="AI90" s="529"/>
      <c r="AJ90" s="529"/>
      <c r="AK90" s="529"/>
      <c r="AL90" s="529"/>
      <c r="AM90" s="529"/>
      <c r="AN90" s="529"/>
      <c r="AO90" s="529"/>
      <c r="AP90" s="529"/>
      <c r="AQ90" s="529"/>
      <c r="AR90" s="529"/>
      <c r="AS90" s="529"/>
      <c r="AT90" s="529"/>
      <c r="AU90" s="529"/>
      <c r="AV90" s="529"/>
      <c r="AW90" s="529"/>
      <c r="AX90" s="530"/>
    </row>
    <row r="91" spans="1:50" x14ac:dyDescent="0.25">
      <c r="A91" s="559" t="s">
        <v>925</v>
      </c>
      <c r="B91" s="560"/>
      <c r="C91" s="560"/>
      <c r="D91" s="560"/>
      <c r="E91" s="560"/>
      <c r="F91" s="560"/>
      <c r="G91" s="560"/>
      <c r="H91" s="560"/>
      <c r="I91" s="560"/>
      <c r="J91" s="560"/>
      <c r="K91" s="560"/>
      <c r="L91" s="560"/>
      <c r="M91" s="560"/>
      <c r="N91" s="560"/>
      <c r="O91" s="560"/>
      <c r="P91" s="560" t="s">
        <v>926</v>
      </c>
      <c r="Q91" s="560"/>
      <c r="R91" s="560"/>
      <c r="S91" s="560"/>
      <c r="T91" s="560"/>
      <c r="U91" s="560"/>
      <c r="V91" s="560"/>
      <c r="W91" s="560"/>
      <c r="X91" s="560"/>
      <c r="Y91" s="561"/>
      <c r="Z91" s="559" t="s">
        <v>925</v>
      </c>
      <c r="AA91" s="560"/>
      <c r="AB91" s="560"/>
      <c r="AC91" s="560"/>
      <c r="AD91" s="560"/>
      <c r="AE91" s="560"/>
      <c r="AF91" s="560"/>
      <c r="AG91" s="560"/>
      <c r="AH91" s="560"/>
      <c r="AI91" s="560"/>
      <c r="AJ91" s="560"/>
      <c r="AK91" s="560"/>
      <c r="AL91" s="560"/>
      <c r="AM91" s="560"/>
      <c r="AN91" s="560"/>
      <c r="AO91" s="560" t="s">
        <v>926</v>
      </c>
      <c r="AP91" s="560"/>
      <c r="AQ91" s="560"/>
      <c r="AR91" s="560"/>
      <c r="AS91" s="560"/>
      <c r="AT91" s="560"/>
      <c r="AU91" s="560"/>
      <c r="AV91" s="560"/>
      <c r="AW91" s="560"/>
      <c r="AX91" s="561"/>
    </row>
    <row r="92" spans="1:50" x14ac:dyDescent="0.25">
      <c r="A92" s="562"/>
      <c r="B92" s="529"/>
      <c r="C92" s="529"/>
      <c r="D92" s="529"/>
      <c r="E92" s="529"/>
      <c r="F92" s="529"/>
      <c r="G92" s="529"/>
      <c r="H92" s="529"/>
      <c r="I92" s="529"/>
      <c r="J92" s="529"/>
      <c r="K92" s="529"/>
      <c r="L92" s="529"/>
      <c r="M92" s="529"/>
      <c r="N92" s="529"/>
      <c r="O92" s="529"/>
      <c r="P92" s="529"/>
      <c r="Q92" s="529"/>
      <c r="R92" s="529"/>
      <c r="S92" s="529"/>
      <c r="T92" s="529"/>
      <c r="U92" s="529"/>
      <c r="V92" s="529"/>
      <c r="W92" s="529"/>
      <c r="X92" s="529"/>
      <c r="Y92" s="530"/>
      <c r="Z92" s="562"/>
      <c r="AA92" s="529"/>
      <c r="AB92" s="529"/>
      <c r="AC92" s="529"/>
      <c r="AD92" s="529"/>
      <c r="AE92" s="529"/>
      <c r="AF92" s="529"/>
      <c r="AG92" s="529"/>
      <c r="AH92" s="529"/>
      <c r="AI92" s="529"/>
      <c r="AJ92" s="529"/>
      <c r="AK92" s="529"/>
      <c r="AL92" s="529"/>
      <c r="AM92" s="529"/>
      <c r="AN92" s="529"/>
      <c r="AO92" s="529"/>
      <c r="AP92" s="529"/>
      <c r="AQ92" s="529"/>
      <c r="AR92" s="529"/>
      <c r="AS92" s="529"/>
      <c r="AT92" s="529"/>
      <c r="AU92" s="529"/>
      <c r="AV92" s="529"/>
      <c r="AW92" s="529"/>
      <c r="AX92" s="530"/>
    </row>
    <row r="93" spans="1:50" x14ac:dyDescent="0.25">
      <c r="A93" s="562"/>
      <c r="B93" s="529"/>
      <c r="C93" s="529"/>
      <c r="D93" s="529"/>
      <c r="E93" s="529"/>
      <c r="F93" s="529"/>
      <c r="G93" s="529"/>
      <c r="H93" s="529"/>
      <c r="I93" s="529"/>
      <c r="J93" s="529"/>
      <c r="K93" s="529"/>
      <c r="L93" s="529"/>
      <c r="M93" s="529"/>
      <c r="N93" s="529"/>
      <c r="O93" s="529"/>
      <c r="P93" s="529"/>
      <c r="Q93" s="529"/>
      <c r="R93" s="529"/>
      <c r="S93" s="529"/>
      <c r="T93" s="529"/>
      <c r="U93" s="529"/>
      <c r="V93" s="529"/>
      <c r="W93" s="529"/>
      <c r="X93" s="529"/>
      <c r="Y93" s="530"/>
      <c r="Z93" s="562"/>
      <c r="AA93" s="529"/>
      <c r="AB93" s="529"/>
      <c r="AC93" s="529"/>
      <c r="AD93" s="529"/>
      <c r="AE93" s="529"/>
      <c r="AF93" s="529"/>
      <c r="AG93" s="529"/>
      <c r="AH93" s="529"/>
      <c r="AI93" s="529"/>
      <c r="AJ93" s="529"/>
      <c r="AK93" s="529"/>
      <c r="AL93" s="529"/>
      <c r="AM93" s="529"/>
      <c r="AN93" s="529"/>
      <c r="AO93" s="529"/>
      <c r="AP93" s="529"/>
      <c r="AQ93" s="529"/>
      <c r="AR93" s="529"/>
      <c r="AS93" s="529"/>
      <c r="AT93" s="529"/>
      <c r="AU93" s="529"/>
      <c r="AV93" s="529"/>
      <c r="AW93" s="529"/>
      <c r="AX93" s="530"/>
    </row>
    <row r="94" spans="1:50" x14ac:dyDescent="0.25">
      <c r="A94" s="562"/>
      <c r="B94" s="529"/>
      <c r="C94" s="529"/>
      <c r="D94" s="529"/>
      <c r="E94" s="529"/>
      <c r="F94" s="529"/>
      <c r="G94" s="529"/>
      <c r="H94" s="529"/>
      <c r="I94" s="529"/>
      <c r="J94" s="529"/>
      <c r="K94" s="529"/>
      <c r="L94" s="529"/>
      <c r="M94" s="529"/>
      <c r="N94" s="529"/>
      <c r="O94" s="529"/>
      <c r="P94" s="529"/>
      <c r="Q94" s="529"/>
      <c r="R94" s="529"/>
      <c r="S94" s="529"/>
      <c r="T94" s="529"/>
      <c r="U94" s="529"/>
      <c r="V94" s="529"/>
      <c r="W94" s="529"/>
      <c r="X94" s="529"/>
      <c r="Y94" s="530"/>
      <c r="Z94" s="562"/>
      <c r="AA94" s="529"/>
      <c r="AB94" s="529"/>
      <c r="AC94" s="529"/>
      <c r="AD94" s="529"/>
      <c r="AE94" s="529"/>
      <c r="AF94" s="529"/>
      <c r="AG94" s="529"/>
      <c r="AH94" s="529"/>
      <c r="AI94" s="529"/>
      <c r="AJ94" s="529"/>
      <c r="AK94" s="529"/>
      <c r="AL94" s="529"/>
      <c r="AM94" s="529"/>
      <c r="AN94" s="529"/>
      <c r="AO94" s="529"/>
      <c r="AP94" s="529"/>
      <c r="AQ94" s="529"/>
      <c r="AR94" s="529"/>
      <c r="AS94" s="529"/>
      <c r="AT94" s="529"/>
      <c r="AU94" s="529"/>
      <c r="AV94" s="529"/>
      <c r="AW94" s="529"/>
      <c r="AX94" s="530"/>
    </row>
    <row r="95" spans="1:50" x14ac:dyDescent="0.25">
      <c r="A95" s="562"/>
      <c r="B95" s="529"/>
      <c r="C95" s="529"/>
      <c r="D95" s="529"/>
      <c r="E95" s="529"/>
      <c r="F95" s="529"/>
      <c r="G95" s="529"/>
      <c r="H95" s="529"/>
      <c r="I95" s="529"/>
      <c r="J95" s="529"/>
      <c r="K95" s="529"/>
      <c r="L95" s="529"/>
      <c r="M95" s="529"/>
      <c r="N95" s="529"/>
      <c r="O95" s="529"/>
      <c r="P95" s="529"/>
      <c r="Q95" s="529"/>
      <c r="R95" s="529"/>
      <c r="S95" s="529"/>
      <c r="T95" s="529"/>
      <c r="U95" s="529"/>
      <c r="V95" s="529"/>
      <c r="W95" s="529"/>
      <c r="X95" s="529"/>
      <c r="Y95" s="530"/>
      <c r="Z95" s="562"/>
      <c r="AA95" s="529"/>
      <c r="AB95" s="529"/>
      <c r="AC95" s="529"/>
      <c r="AD95" s="529"/>
      <c r="AE95" s="529"/>
      <c r="AF95" s="529"/>
      <c r="AG95" s="529"/>
      <c r="AH95" s="529"/>
      <c r="AI95" s="529"/>
      <c r="AJ95" s="529"/>
      <c r="AK95" s="529"/>
      <c r="AL95" s="529"/>
      <c r="AM95" s="529"/>
      <c r="AN95" s="529"/>
      <c r="AO95" s="529"/>
      <c r="AP95" s="529"/>
      <c r="AQ95" s="529"/>
      <c r="AR95" s="529"/>
      <c r="AS95" s="529"/>
      <c r="AT95" s="529"/>
      <c r="AU95" s="529"/>
      <c r="AV95" s="529"/>
      <c r="AW95" s="529"/>
      <c r="AX95" s="530"/>
    </row>
    <row r="96" spans="1:50" ht="15.75" thickBot="1" x14ac:dyDescent="0.3">
      <c r="A96" s="563"/>
      <c r="B96" s="531"/>
      <c r="C96" s="531"/>
      <c r="D96" s="531"/>
      <c r="E96" s="531"/>
      <c r="F96" s="531"/>
      <c r="G96" s="531"/>
      <c r="H96" s="531"/>
      <c r="I96" s="531"/>
      <c r="J96" s="531"/>
      <c r="K96" s="531"/>
      <c r="L96" s="531"/>
      <c r="M96" s="531"/>
      <c r="N96" s="531"/>
      <c r="O96" s="531"/>
      <c r="P96" s="531"/>
      <c r="Q96" s="531"/>
      <c r="R96" s="531"/>
      <c r="S96" s="531"/>
      <c r="T96" s="531"/>
      <c r="U96" s="531"/>
      <c r="V96" s="531"/>
      <c r="W96" s="531"/>
      <c r="X96" s="531"/>
      <c r="Y96" s="532"/>
      <c r="Z96" s="563"/>
      <c r="AA96" s="531"/>
      <c r="AB96" s="531"/>
      <c r="AC96" s="531"/>
      <c r="AD96" s="531"/>
      <c r="AE96" s="531"/>
      <c r="AF96" s="531"/>
      <c r="AG96" s="531"/>
      <c r="AH96" s="531"/>
      <c r="AI96" s="531"/>
      <c r="AJ96" s="531"/>
      <c r="AK96" s="531"/>
      <c r="AL96" s="531"/>
      <c r="AM96" s="531"/>
      <c r="AN96" s="531"/>
      <c r="AO96" s="531"/>
      <c r="AP96" s="531"/>
      <c r="AQ96" s="531"/>
      <c r="AR96" s="531"/>
      <c r="AS96" s="531"/>
      <c r="AT96" s="531"/>
      <c r="AU96" s="531"/>
      <c r="AV96" s="531"/>
      <c r="AW96" s="531"/>
      <c r="AX96" s="532"/>
    </row>
  </sheetData>
  <sheetProtection password="E9C2" sheet="1" objects="1" scenarios="1" selectLockedCells="1"/>
  <mergeCells count="856">
    <mergeCell ref="R49:S49"/>
    <mergeCell ref="T49:U49"/>
    <mergeCell ref="V49:W49"/>
    <mergeCell ref="X49:Y49"/>
    <mergeCell ref="D49:M49"/>
    <mergeCell ref="K55:L55"/>
    <mergeCell ref="A49:C49"/>
    <mergeCell ref="N49:O49"/>
    <mergeCell ref="P49:Q49"/>
    <mergeCell ref="A50:C50"/>
    <mergeCell ref="D50:M50"/>
    <mergeCell ref="N50:O50"/>
    <mergeCell ref="P50:Q50"/>
    <mergeCell ref="R50:S50"/>
    <mergeCell ref="T50:U50"/>
    <mergeCell ref="V50:W50"/>
    <mergeCell ref="X50:Y50"/>
    <mergeCell ref="V51:W51"/>
    <mergeCell ref="X51:Y51"/>
    <mergeCell ref="G52:L52"/>
    <mergeCell ref="M52:Y52"/>
    <mergeCell ref="M53:Y57"/>
    <mergeCell ref="A57:D57"/>
    <mergeCell ref="E57:F57"/>
    <mergeCell ref="A61:L61"/>
    <mergeCell ref="M61:O61"/>
    <mergeCell ref="P61:R61"/>
    <mergeCell ref="S61:U61"/>
    <mergeCell ref="V61:W61"/>
    <mergeCell ref="X61:Y61"/>
    <mergeCell ref="A55:D55"/>
    <mergeCell ref="E55:F55"/>
    <mergeCell ref="G55:J55"/>
    <mergeCell ref="A60:L60"/>
    <mergeCell ref="M60:O60"/>
    <mergeCell ref="P60:R60"/>
    <mergeCell ref="E58:F58"/>
    <mergeCell ref="A59:L59"/>
    <mergeCell ref="M59:O59"/>
    <mergeCell ref="P59:R59"/>
    <mergeCell ref="S59:U59"/>
    <mergeCell ref="V59:W59"/>
    <mergeCell ref="X59:Y59"/>
    <mergeCell ref="A58:D58"/>
    <mergeCell ref="S60:U60"/>
    <mergeCell ref="V60:W60"/>
    <mergeCell ref="X60:Y60"/>
    <mergeCell ref="A56:D56"/>
    <mergeCell ref="P62:R62"/>
    <mergeCell ref="S62:U62"/>
    <mergeCell ref="V62:W62"/>
    <mergeCell ref="X62:Y62"/>
    <mergeCell ref="A64:L64"/>
    <mergeCell ref="M64:O64"/>
    <mergeCell ref="P64:R64"/>
    <mergeCell ref="S64:U64"/>
    <mergeCell ref="V64:W64"/>
    <mergeCell ref="X64:Y64"/>
    <mergeCell ref="P73:Q73"/>
    <mergeCell ref="R73:S73"/>
    <mergeCell ref="T73:U73"/>
    <mergeCell ref="V73:W73"/>
    <mergeCell ref="X73:Y73"/>
    <mergeCell ref="T74:U74"/>
    <mergeCell ref="V74:W74"/>
    <mergeCell ref="X74:Y74"/>
    <mergeCell ref="V75:W75"/>
    <mergeCell ref="X75:Y75"/>
    <mergeCell ref="P74:Q74"/>
    <mergeCell ref="R74:S74"/>
    <mergeCell ref="K78:L78"/>
    <mergeCell ref="A79:D79"/>
    <mergeCell ref="A81:D81"/>
    <mergeCell ref="E81:F81"/>
    <mergeCell ref="G81:J81"/>
    <mergeCell ref="K81:L81"/>
    <mergeCell ref="A73:C73"/>
    <mergeCell ref="D73:M73"/>
    <mergeCell ref="N73:O73"/>
    <mergeCell ref="K80:L80"/>
    <mergeCell ref="A74:C74"/>
    <mergeCell ref="D74:M74"/>
    <mergeCell ref="N74:O74"/>
    <mergeCell ref="A76:D76"/>
    <mergeCell ref="E76:F76"/>
    <mergeCell ref="A83:L83"/>
    <mergeCell ref="M83:O83"/>
    <mergeCell ref="P83:R83"/>
    <mergeCell ref="S83:U83"/>
    <mergeCell ref="V83:W83"/>
    <mergeCell ref="X83:Y83"/>
    <mergeCell ref="A86:L86"/>
    <mergeCell ref="M86:O86"/>
    <mergeCell ref="P86:R86"/>
    <mergeCell ref="S86:U86"/>
    <mergeCell ref="V86:W86"/>
    <mergeCell ref="X86:Y86"/>
    <mergeCell ref="A85:L85"/>
    <mergeCell ref="M85:O85"/>
    <mergeCell ref="P85:R85"/>
    <mergeCell ref="S85:U85"/>
    <mergeCell ref="V85:W85"/>
    <mergeCell ref="X85:Y85"/>
    <mergeCell ref="A89:L89"/>
    <mergeCell ref="M89:O89"/>
    <mergeCell ref="P89:R89"/>
    <mergeCell ref="S89:U89"/>
    <mergeCell ref="V89:W89"/>
    <mergeCell ref="X89:Y89"/>
    <mergeCell ref="A84:L84"/>
    <mergeCell ref="M84:O84"/>
    <mergeCell ref="P84:R84"/>
    <mergeCell ref="S84:U84"/>
    <mergeCell ref="V84:W84"/>
    <mergeCell ref="X84:Y84"/>
    <mergeCell ref="A88:L88"/>
    <mergeCell ref="M88:O88"/>
    <mergeCell ref="P88:R88"/>
    <mergeCell ref="S88:U88"/>
    <mergeCell ref="V88:W88"/>
    <mergeCell ref="X88:Y88"/>
    <mergeCell ref="A87:L87"/>
    <mergeCell ref="M87:O87"/>
    <mergeCell ref="P87:R87"/>
    <mergeCell ref="S87:U87"/>
    <mergeCell ref="V87:W87"/>
    <mergeCell ref="X87:Y87"/>
    <mergeCell ref="V1:W1"/>
    <mergeCell ref="X1:Y1"/>
    <mergeCell ref="A2:C2"/>
    <mergeCell ref="D2:M2"/>
    <mergeCell ref="N2:O2"/>
    <mergeCell ref="P2:Q2"/>
    <mergeCell ref="R2:S2"/>
    <mergeCell ref="T2:U2"/>
    <mergeCell ref="V2:W2"/>
    <mergeCell ref="X2:Y2"/>
    <mergeCell ref="A1:C1"/>
    <mergeCell ref="D1:M1"/>
    <mergeCell ref="N1:O1"/>
    <mergeCell ref="P1:Q1"/>
    <mergeCell ref="R1:S1"/>
    <mergeCell ref="T1:U1"/>
    <mergeCell ref="V3:W3"/>
    <mergeCell ref="X3:Y3"/>
    <mergeCell ref="A4:D4"/>
    <mergeCell ref="E4:F4"/>
    <mergeCell ref="G4:L4"/>
    <mergeCell ref="M4:Y4"/>
    <mergeCell ref="A3:C3"/>
    <mergeCell ref="D3:M3"/>
    <mergeCell ref="N3:O3"/>
    <mergeCell ref="P3:Q3"/>
    <mergeCell ref="R3:S3"/>
    <mergeCell ref="T3:U3"/>
    <mergeCell ref="A5:D5"/>
    <mergeCell ref="E5:F5"/>
    <mergeCell ref="G5:J5"/>
    <mergeCell ref="K5:L5"/>
    <mergeCell ref="A6:D6"/>
    <mergeCell ref="E6:F6"/>
    <mergeCell ref="G6:J6"/>
    <mergeCell ref="K6:L6"/>
    <mergeCell ref="A7:D7"/>
    <mergeCell ref="M10:P10"/>
    <mergeCell ref="Q10:Y10"/>
    <mergeCell ref="A11:L11"/>
    <mergeCell ref="M11:O11"/>
    <mergeCell ref="P11:R11"/>
    <mergeCell ref="S11:U11"/>
    <mergeCell ref="V11:W11"/>
    <mergeCell ref="X11:Y11"/>
    <mergeCell ref="A9:D9"/>
    <mergeCell ref="E9:F9"/>
    <mergeCell ref="G9:J9"/>
    <mergeCell ref="K9:L9"/>
    <mergeCell ref="A10:D10"/>
    <mergeCell ref="E10:F10"/>
    <mergeCell ref="G10:J10"/>
    <mergeCell ref="K10:L10"/>
    <mergeCell ref="M5:Y9"/>
    <mergeCell ref="E7:F7"/>
    <mergeCell ref="G7:J7"/>
    <mergeCell ref="K7:L7"/>
    <mergeCell ref="A8:D8"/>
    <mergeCell ref="E8:F8"/>
    <mergeCell ref="G8:J8"/>
    <mergeCell ref="K8:L8"/>
    <mergeCell ref="A13:L13"/>
    <mergeCell ref="M13:O13"/>
    <mergeCell ref="P13:R13"/>
    <mergeCell ref="S13:U13"/>
    <mergeCell ref="V13:W13"/>
    <mergeCell ref="X13:Y13"/>
    <mergeCell ref="A12:L12"/>
    <mergeCell ref="M12:O12"/>
    <mergeCell ref="P12:R12"/>
    <mergeCell ref="S12:U12"/>
    <mergeCell ref="V12:W12"/>
    <mergeCell ref="X12:Y12"/>
    <mergeCell ref="A15:L15"/>
    <mergeCell ref="M15:O15"/>
    <mergeCell ref="P15:R15"/>
    <mergeCell ref="S15:U15"/>
    <mergeCell ref="V15:W15"/>
    <mergeCell ref="X15:Y15"/>
    <mergeCell ref="A14:L14"/>
    <mergeCell ref="M14:O14"/>
    <mergeCell ref="P14:R14"/>
    <mergeCell ref="S14:U14"/>
    <mergeCell ref="V14:W14"/>
    <mergeCell ref="X14:Y14"/>
    <mergeCell ref="A17:L17"/>
    <mergeCell ref="M17:O17"/>
    <mergeCell ref="P17:R17"/>
    <mergeCell ref="S17:U17"/>
    <mergeCell ref="V17:W17"/>
    <mergeCell ref="X17:Y17"/>
    <mergeCell ref="A16:L16"/>
    <mergeCell ref="M16:O16"/>
    <mergeCell ref="P16:R16"/>
    <mergeCell ref="S16:U16"/>
    <mergeCell ref="V16:W16"/>
    <mergeCell ref="X16:Y16"/>
    <mergeCell ref="A19:O19"/>
    <mergeCell ref="P19:Y19"/>
    <mergeCell ref="A25:C25"/>
    <mergeCell ref="D25:M25"/>
    <mergeCell ref="N25:O25"/>
    <mergeCell ref="P25:Q25"/>
    <mergeCell ref="R25:S25"/>
    <mergeCell ref="T25:U25"/>
    <mergeCell ref="A18:L18"/>
    <mergeCell ref="M18:O18"/>
    <mergeCell ref="P18:R18"/>
    <mergeCell ref="S18:U18"/>
    <mergeCell ref="V18:W18"/>
    <mergeCell ref="X18:Y18"/>
    <mergeCell ref="V25:W25"/>
    <mergeCell ref="X25:Y25"/>
    <mergeCell ref="A20:O24"/>
    <mergeCell ref="P20:Y24"/>
    <mergeCell ref="A26:C26"/>
    <mergeCell ref="D26:M26"/>
    <mergeCell ref="N26:O26"/>
    <mergeCell ref="P26:Q26"/>
    <mergeCell ref="R26:S26"/>
    <mergeCell ref="T26:U26"/>
    <mergeCell ref="V26:W26"/>
    <mergeCell ref="X26:Y26"/>
    <mergeCell ref="V27:W27"/>
    <mergeCell ref="X27:Y27"/>
    <mergeCell ref="A28:D28"/>
    <mergeCell ref="E28:F28"/>
    <mergeCell ref="G28:L28"/>
    <mergeCell ref="M28:Y28"/>
    <mergeCell ref="A27:C27"/>
    <mergeCell ref="D27:M27"/>
    <mergeCell ref="N27:O27"/>
    <mergeCell ref="P27:Q27"/>
    <mergeCell ref="R27:S27"/>
    <mergeCell ref="T27:U27"/>
    <mergeCell ref="M29:Y33"/>
    <mergeCell ref="A30:D30"/>
    <mergeCell ref="E30:F30"/>
    <mergeCell ref="G30:J30"/>
    <mergeCell ref="K30:L30"/>
    <mergeCell ref="A31:D31"/>
    <mergeCell ref="A33:D33"/>
    <mergeCell ref="E33:F33"/>
    <mergeCell ref="G33:J33"/>
    <mergeCell ref="K33:L33"/>
    <mergeCell ref="E31:F31"/>
    <mergeCell ref="G31:J31"/>
    <mergeCell ref="K31:L31"/>
    <mergeCell ref="A32:D32"/>
    <mergeCell ref="E32:F32"/>
    <mergeCell ref="G32:J32"/>
    <mergeCell ref="K32:L32"/>
    <mergeCell ref="A29:D29"/>
    <mergeCell ref="E29:F29"/>
    <mergeCell ref="G29:J29"/>
    <mergeCell ref="K29:L29"/>
    <mergeCell ref="A36:L36"/>
    <mergeCell ref="M36:O36"/>
    <mergeCell ref="P36:R36"/>
    <mergeCell ref="S36:U36"/>
    <mergeCell ref="V36:W36"/>
    <mergeCell ref="X36:Y36"/>
    <mergeCell ref="M34:P34"/>
    <mergeCell ref="Q34:Y34"/>
    <mergeCell ref="A35:L35"/>
    <mergeCell ref="M35:O35"/>
    <mergeCell ref="P35:R35"/>
    <mergeCell ref="S35:U35"/>
    <mergeCell ref="V35:W35"/>
    <mergeCell ref="X35:Y35"/>
    <mergeCell ref="A34:D34"/>
    <mergeCell ref="E34:F34"/>
    <mergeCell ref="G34:J34"/>
    <mergeCell ref="K34:L34"/>
    <mergeCell ref="A38:L38"/>
    <mergeCell ref="M38:O38"/>
    <mergeCell ref="P38:R38"/>
    <mergeCell ref="S38:U38"/>
    <mergeCell ref="V38:W38"/>
    <mergeCell ref="X38:Y38"/>
    <mergeCell ref="A37:L37"/>
    <mergeCell ref="M37:O37"/>
    <mergeCell ref="P37:R37"/>
    <mergeCell ref="S37:U37"/>
    <mergeCell ref="V37:W37"/>
    <mergeCell ref="X37:Y37"/>
    <mergeCell ref="V41:W41"/>
    <mergeCell ref="X41:Y41"/>
    <mergeCell ref="A40:L40"/>
    <mergeCell ref="M40:O40"/>
    <mergeCell ref="P40:R40"/>
    <mergeCell ref="S40:U40"/>
    <mergeCell ref="V40:W40"/>
    <mergeCell ref="X40:Y40"/>
    <mergeCell ref="A39:L39"/>
    <mergeCell ref="M39:O39"/>
    <mergeCell ref="P39:R39"/>
    <mergeCell ref="S39:U39"/>
    <mergeCell ref="V39:W39"/>
    <mergeCell ref="X39:Y39"/>
    <mergeCell ref="A41:L41"/>
    <mergeCell ref="M41:O41"/>
    <mergeCell ref="P41:R41"/>
    <mergeCell ref="S41:U41"/>
    <mergeCell ref="A43:O43"/>
    <mergeCell ref="P43:Y43"/>
    <mergeCell ref="A44:O48"/>
    <mergeCell ref="P44:Y48"/>
    <mergeCell ref="A42:L42"/>
    <mergeCell ref="M42:O42"/>
    <mergeCell ref="P42:R42"/>
    <mergeCell ref="S42:U42"/>
    <mergeCell ref="V42:W42"/>
    <mergeCell ref="X42:Y42"/>
    <mergeCell ref="G57:J57"/>
    <mergeCell ref="K57:L57"/>
    <mergeCell ref="A51:C51"/>
    <mergeCell ref="D51:M51"/>
    <mergeCell ref="N51:O51"/>
    <mergeCell ref="P51:Q51"/>
    <mergeCell ref="R51:S51"/>
    <mergeCell ref="E56:F56"/>
    <mergeCell ref="G56:J56"/>
    <mergeCell ref="K56:L56"/>
    <mergeCell ref="T51:U51"/>
    <mergeCell ref="E53:F53"/>
    <mergeCell ref="G53:J53"/>
    <mergeCell ref="K53:L53"/>
    <mergeCell ref="A54:D54"/>
    <mergeCell ref="E54:F54"/>
    <mergeCell ref="G54:J54"/>
    <mergeCell ref="K54:L54"/>
    <mergeCell ref="A52:D52"/>
    <mergeCell ref="E52:F52"/>
    <mergeCell ref="A53:D53"/>
    <mergeCell ref="A66:L66"/>
    <mergeCell ref="M66:O66"/>
    <mergeCell ref="P66:R66"/>
    <mergeCell ref="S66:U66"/>
    <mergeCell ref="V66:W66"/>
    <mergeCell ref="X66:Y66"/>
    <mergeCell ref="G58:J58"/>
    <mergeCell ref="K58:L58"/>
    <mergeCell ref="M58:P58"/>
    <mergeCell ref="Q58:Y58"/>
    <mergeCell ref="A65:L65"/>
    <mergeCell ref="M65:O65"/>
    <mergeCell ref="P65:R65"/>
    <mergeCell ref="S65:U65"/>
    <mergeCell ref="V65:W65"/>
    <mergeCell ref="X65:Y65"/>
    <mergeCell ref="A63:L63"/>
    <mergeCell ref="M63:O63"/>
    <mergeCell ref="P63:R63"/>
    <mergeCell ref="S63:U63"/>
    <mergeCell ref="V63:W63"/>
    <mergeCell ref="X63:Y63"/>
    <mergeCell ref="A62:L62"/>
    <mergeCell ref="M62:O62"/>
    <mergeCell ref="Q82:Y82"/>
    <mergeCell ref="A67:O67"/>
    <mergeCell ref="P67:Y67"/>
    <mergeCell ref="A68:O72"/>
    <mergeCell ref="P68:Y72"/>
    <mergeCell ref="A75:C75"/>
    <mergeCell ref="D75:M75"/>
    <mergeCell ref="N75:O75"/>
    <mergeCell ref="P75:Q75"/>
    <mergeCell ref="R75:S75"/>
    <mergeCell ref="T75:U75"/>
    <mergeCell ref="E79:F79"/>
    <mergeCell ref="G79:J79"/>
    <mergeCell ref="K79:L79"/>
    <mergeCell ref="A80:D80"/>
    <mergeCell ref="E80:F80"/>
    <mergeCell ref="G80:J80"/>
    <mergeCell ref="A77:D77"/>
    <mergeCell ref="E77:F77"/>
    <mergeCell ref="G77:J77"/>
    <mergeCell ref="K77:L77"/>
    <mergeCell ref="A78:D78"/>
    <mergeCell ref="E78:F78"/>
    <mergeCell ref="G78:J78"/>
    <mergeCell ref="A91:O91"/>
    <mergeCell ref="P91:Y91"/>
    <mergeCell ref="A92:O96"/>
    <mergeCell ref="P92:Y96"/>
    <mergeCell ref="Z1:AB1"/>
    <mergeCell ref="AC1:AL1"/>
    <mergeCell ref="Z2:AB2"/>
    <mergeCell ref="AC2:AL2"/>
    <mergeCell ref="Z3:AB3"/>
    <mergeCell ref="AC3:AL3"/>
    <mergeCell ref="A90:L90"/>
    <mergeCell ref="M90:O90"/>
    <mergeCell ref="P90:R90"/>
    <mergeCell ref="S90:U90"/>
    <mergeCell ref="V90:W90"/>
    <mergeCell ref="X90:Y90"/>
    <mergeCell ref="G76:L76"/>
    <mergeCell ref="M76:Y76"/>
    <mergeCell ref="M77:Y81"/>
    <mergeCell ref="A82:D82"/>
    <mergeCell ref="E82:F82"/>
    <mergeCell ref="G82:J82"/>
    <mergeCell ref="K82:L82"/>
    <mergeCell ref="M82:P82"/>
    <mergeCell ref="AM2:AN2"/>
    <mergeCell ref="AO2:AP2"/>
    <mergeCell ref="AQ2:AR2"/>
    <mergeCell ref="AS2:AT2"/>
    <mergeCell ref="AU2:AV2"/>
    <mergeCell ref="AW2:AX2"/>
    <mergeCell ref="AM1:AN1"/>
    <mergeCell ref="AO1:AP1"/>
    <mergeCell ref="AQ1:AR1"/>
    <mergeCell ref="AS1:AT1"/>
    <mergeCell ref="AU1:AV1"/>
    <mergeCell ref="AW1:AX1"/>
    <mergeCell ref="AL4:AX4"/>
    <mergeCell ref="Z5:AC5"/>
    <mergeCell ref="AD5:AE5"/>
    <mergeCell ref="AF5:AI5"/>
    <mergeCell ref="AJ5:AK5"/>
    <mergeCell ref="AL5:AX9"/>
    <mergeCell ref="Z6:AC6"/>
    <mergeCell ref="AM3:AN3"/>
    <mergeCell ref="AO3:AP3"/>
    <mergeCell ref="AQ3:AR3"/>
    <mergeCell ref="AS3:AT3"/>
    <mergeCell ref="AU3:AV3"/>
    <mergeCell ref="AW3:AX3"/>
    <mergeCell ref="AD6:AE6"/>
    <mergeCell ref="AF6:AI6"/>
    <mergeCell ref="AJ6:AK6"/>
    <mergeCell ref="Z7:AC7"/>
    <mergeCell ref="AD7:AE7"/>
    <mergeCell ref="AF7:AI7"/>
    <mergeCell ref="AJ7:AK7"/>
    <mergeCell ref="Z4:AC4"/>
    <mergeCell ref="AD4:AE4"/>
    <mergeCell ref="AF4:AK4"/>
    <mergeCell ref="Z10:AC10"/>
    <mergeCell ref="AD10:AE10"/>
    <mergeCell ref="AF10:AI10"/>
    <mergeCell ref="AJ10:AK10"/>
    <mergeCell ref="AL10:AO10"/>
    <mergeCell ref="AP10:AX10"/>
    <mergeCell ref="Z8:AC8"/>
    <mergeCell ref="AD8:AE8"/>
    <mergeCell ref="AF8:AI8"/>
    <mergeCell ref="AJ8:AK8"/>
    <mergeCell ref="Z9:AC9"/>
    <mergeCell ref="AD9:AE9"/>
    <mergeCell ref="AF9:AI9"/>
    <mergeCell ref="AJ9:AK9"/>
    <mergeCell ref="Z12:AK12"/>
    <mergeCell ref="AL12:AN12"/>
    <mergeCell ref="AO12:AQ12"/>
    <mergeCell ref="AR12:AT12"/>
    <mergeCell ref="AU12:AV12"/>
    <mergeCell ref="AW12:AX12"/>
    <mergeCell ref="Z11:AK11"/>
    <mergeCell ref="AL11:AN11"/>
    <mergeCell ref="AO11:AQ11"/>
    <mergeCell ref="AR11:AT11"/>
    <mergeCell ref="AU11:AV11"/>
    <mergeCell ref="AW11:AX11"/>
    <mergeCell ref="Z14:AK14"/>
    <mergeCell ref="AL14:AN14"/>
    <mergeCell ref="AO14:AQ14"/>
    <mergeCell ref="AR14:AT14"/>
    <mergeCell ref="AU14:AV14"/>
    <mergeCell ref="AW14:AX14"/>
    <mergeCell ref="Z13:AK13"/>
    <mergeCell ref="AL13:AN13"/>
    <mergeCell ref="AO13:AQ13"/>
    <mergeCell ref="AR13:AT13"/>
    <mergeCell ref="AU13:AV13"/>
    <mergeCell ref="AW13:AX13"/>
    <mergeCell ref="Z16:AK16"/>
    <mergeCell ref="AL16:AN16"/>
    <mergeCell ref="AO16:AQ16"/>
    <mergeCell ref="AR16:AT16"/>
    <mergeCell ref="AU16:AV16"/>
    <mergeCell ref="AW16:AX16"/>
    <mergeCell ref="Z15:AK15"/>
    <mergeCell ref="AL15:AN15"/>
    <mergeCell ref="AO15:AQ15"/>
    <mergeCell ref="AR15:AT15"/>
    <mergeCell ref="AU15:AV15"/>
    <mergeCell ref="AW15:AX15"/>
    <mergeCell ref="Z18:AK18"/>
    <mergeCell ref="AL18:AN18"/>
    <mergeCell ref="AO18:AQ18"/>
    <mergeCell ref="AR18:AT18"/>
    <mergeCell ref="AU18:AV18"/>
    <mergeCell ref="AW18:AX18"/>
    <mergeCell ref="Z17:AK17"/>
    <mergeCell ref="AL17:AN17"/>
    <mergeCell ref="AO17:AQ17"/>
    <mergeCell ref="AR17:AT17"/>
    <mergeCell ref="AU17:AV17"/>
    <mergeCell ref="AW17:AX17"/>
    <mergeCell ref="Z19:AN19"/>
    <mergeCell ref="AO19:AX19"/>
    <mergeCell ref="Z20:AN24"/>
    <mergeCell ref="AO20:AX24"/>
    <mergeCell ref="Z25:AB25"/>
    <mergeCell ref="AC25:AL25"/>
    <mergeCell ref="AM25:AN25"/>
    <mergeCell ref="AO25:AP25"/>
    <mergeCell ref="AQ25:AR25"/>
    <mergeCell ref="AS25:AT25"/>
    <mergeCell ref="AU25:AV25"/>
    <mergeCell ref="AW25:AX25"/>
    <mergeCell ref="Z26:AB26"/>
    <mergeCell ref="AC26:AL26"/>
    <mergeCell ref="AM26:AN26"/>
    <mergeCell ref="AO26:AP26"/>
    <mergeCell ref="AQ26:AR26"/>
    <mergeCell ref="AS26:AT26"/>
    <mergeCell ref="AU26:AV26"/>
    <mergeCell ref="AW26:AX26"/>
    <mergeCell ref="AU27:AV27"/>
    <mergeCell ref="AW27:AX27"/>
    <mergeCell ref="Z28:AC28"/>
    <mergeCell ref="AD28:AE28"/>
    <mergeCell ref="AF28:AK28"/>
    <mergeCell ref="AL28:AX28"/>
    <mergeCell ref="Z27:AB27"/>
    <mergeCell ref="AC27:AL27"/>
    <mergeCell ref="AM27:AN27"/>
    <mergeCell ref="AO27:AP27"/>
    <mergeCell ref="AQ27:AR27"/>
    <mergeCell ref="AS27:AT27"/>
    <mergeCell ref="AL29:AX33"/>
    <mergeCell ref="Z30:AC30"/>
    <mergeCell ref="AD30:AE30"/>
    <mergeCell ref="AF30:AI30"/>
    <mergeCell ref="AJ30:AK30"/>
    <mergeCell ref="Z31:AC31"/>
    <mergeCell ref="Z33:AC33"/>
    <mergeCell ref="AD33:AE33"/>
    <mergeCell ref="AF33:AI33"/>
    <mergeCell ref="AJ33:AK33"/>
    <mergeCell ref="AD31:AE31"/>
    <mergeCell ref="AF31:AI31"/>
    <mergeCell ref="AJ31:AK31"/>
    <mergeCell ref="Z32:AC32"/>
    <mergeCell ref="AD32:AE32"/>
    <mergeCell ref="AF32:AI32"/>
    <mergeCell ref="AJ32:AK32"/>
    <mergeCell ref="Z29:AC29"/>
    <mergeCell ref="AD29:AE29"/>
    <mergeCell ref="AF29:AI29"/>
    <mergeCell ref="AJ29:AK29"/>
    <mergeCell ref="Z36:AK36"/>
    <mergeCell ref="AL36:AN36"/>
    <mergeCell ref="AO36:AQ36"/>
    <mergeCell ref="AR36:AT36"/>
    <mergeCell ref="AU36:AV36"/>
    <mergeCell ref="AW36:AX36"/>
    <mergeCell ref="AL34:AO34"/>
    <mergeCell ref="AP34:AX34"/>
    <mergeCell ref="Z35:AK35"/>
    <mergeCell ref="AL35:AN35"/>
    <mergeCell ref="AO35:AQ35"/>
    <mergeCell ref="AR35:AT35"/>
    <mergeCell ref="AU35:AV35"/>
    <mergeCell ref="AW35:AX35"/>
    <mergeCell ref="Z34:AC34"/>
    <mergeCell ref="AD34:AE34"/>
    <mergeCell ref="AF34:AI34"/>
    <mergeCell ref="AJ34:AK34"/>
    <mergeCell ref="Z38:AK38"/>
    <mergeCell ref="AL38:AN38"/>
    <mergeCell ref="AO38:AQ38"/>
    <mergeCell ref="AR38:AT38"/>
    <mergeCell ref="AU38:AV38"/>
    <mergeCell ref="AW38:AX38"/>
    <mergeCell ref="Z37:AK37"/>
    <mergeCell ref="AL37:AN37"/>
    <mergeCell ref="AO37:AQ37"/>
    <mergeCell ref="AR37:AT37"/>
    <mergeCell ref="AU37:AV37"/>
    <mergeCell ref="AW37:AX37"/>
    <mergeCell ref="Z40:AK40"/>
    <mergeCell ref="AL40:AN40"/>
    <mergeCell ref="AO40:AQ40"/>
    <mergeCell ref="AR40:AT40"/>
    <mergeCell ref="AU40:AV40"/>
    <mergeCell ref="AW40:AX40"/>
    <mergeCell ref="Z39:AK39"/>
    <mergeCell ref="AL39:AN39"/>
    <mergeCell ref="AO39:AQ39"/>
    <mergeCell ref="AR39:AT39"/>
    <mergeCell ref="AU39:AV39"/>
    <mergeCell ref="AW39:AX39"/>
    <mergeCell ref="Z42:AK42"/>
    <mergeCell ref="AL42:AN42"/>
    <mergeCell ref="AO42:AQ42"/>
    <mergeCell ref="AR42:AT42"/>
    <mergeCell ref="AU42:AV42"/>
    <mergeCell ref="AW42:AX42"/>
    <mergeCell ref="Z41:AK41"/>
    <mergeCell ref="AL41:AN41"/>
    <mergeCell ref="AO41:AQ41"/>
    <mergeCell ref="AR41:AT41"/>
    <mergeCell ref="AU41:AV41"/>
    <mergeCell ref="AW41:AX41"/>
    <mergeCell ref="Z43:AN43"/>
    <mergeCell ref="AO43:AX43"/>
    <mergeCell ref="Z44:AN48"/>
    <mergeCell ref="AO44:AX48"/>
    <mergeCell ref="Z49:AB49"/>
    <mergeCell ref="AC49:AL49"/>
    <mergeCell ref="AM49:AN49"/>
    <mergeCell ref="AO49:AP49"/>
    <mergeCell ref="AQ49:AR49"/>
    <mergeCell ref="AS49:AT49"/>
    <mergeCell ref="AU49:AV49"/>
    <mergeCell ref="AW49:AX49"/>
    <mergeCell ref="Z50:AB50"/>
    <mergeCell ref="AC50:AL50"/>
    <mergeCell ref="AM50:AN50"/>
    <mergeCell ref="AO50:AP50"/>
    <mergeCell ref="AQ50:AR50"/>
    <mergeCell ref="AS50:AT50"/>
    <mergeCell ref="AU50:AV50"/>
    <mergeCell ref="AW50:AX50"/>
    <mergeCell ref="AU51:AV51"/>
    <mergeCell ref="AW51:AX51"/>
    <mergeCell ref="Z52:AC52"/>
    <mergeCell ref="AD52:AE52"/>
    <mergeCell ref="AF52:AK52"/>
    <mergeCell ref="AL52:AX52"/>
    <mergeCell ref="Z51:AB51"/>
    <mergeCell ref="AC51:AL51"/>
    <mergeCell ref="AM51:AN51"/>
    <mergeCell ref="AO51:AP51"/>
    <mergeCell ref="AQ51:AR51"/>
    <mergeCell ref="AS51:AT51"/>
    <mergeCell ref="AL53:AX57"/>
    <mergeCell ref="Z54:AC54"/>
    <mergeCell ref="AD54:AE54"/>
    <mergeCell ref="AF54:AI54"/>
    <mergeCell ref="AJ54:AK54"/>
    <mergeCell ref="Z55:AC55"/>
    <mergeCell ref="Z57:AC57"/>
    <mergeCell ref="AD57:AE57"/>
    <mergeCell ref="AF57:AI57"/>
    <mergeCell ref="AJ57:AK57"/>
    <mergeCell ref="AD55:AE55"/>
    <mergeCell ref="AF55:AI55"/>
    <mergeCell ref="AJ55:AK55"/>
    <mergeCell ref="Z56:AC56"/>
    <mergeCell ref="AD56:AE56"/>
    <mergeCell ref="AF56:AI56"/>
    <mergeCell ref="AJ56:AK56"/>
    <mergeCell ref="Z53:AC53"/>
    <mergeCell ref="AD53:AE53"/>
    <mergeCell ref="AF53:AI53"/>
    <mergeCell ref="AJ53:AK53"/>
    <mergeCell ref="Z60:AK60"/>
    <mergeCell ref="AL60:AN60"/>
    <mergeCell ref="AO60:AQ60"/>
    <mergeCell ref="AR60:AT60"/>
    <mergeCell ref="AU60:AV60"/>
    <mergeCell ref="AW60:AX60"/>
    <mergeCell ref="AL58:AO58"/>
    <mergeCell ref="AP58:AX58"/>
    <mergeCell ref="Z59:AK59"/>
    <mergeCell ref="AL59:AN59"/>
    <mergeCell ref="AO59:AQ59"/>
    <mergeCell ref="AR59:AT59"/>
    <mergeCell ref="AU59:AV59"/>
    <mergeCell ref="AW59:AX59"/>
    <mergeCell ref="Z58:AC58"/>
    <mergeCell ref="AD58:AE58"/>
    <mergeCell ref="AF58:AI58"/>
    <mergeCell ref="AJ58:AK58"/>
    <mergeCell ref="Z62:AK62"/>
    <mergeCell ref="AL62:AN62"/>
    <mergeCell ref="AO62:AQ62"/>
    <mergeCell ref="AR62:AT62"/>
    <mergeCell ref="AU62:AV62"/>
    <mergeCell ref="AW62:AX62"/>
    <mergeCell ref="Z61:AK61"/>
    <mergeCell ref="AL61:AN61"/>
    <mergeCell ref="AO61:AQ61"/>
    <mergeCell ref="AR61:AT61"/>
    <mergeCell ref="AU61:AV61"/>
    <mergeCell ref="AW61:AX61"/>
    <mergeCell ref="Z64:AK64"/>
    <mergeCell ref="AL64:AN64"/>
    <mergeCell ref="AO64:AQ64"/>
    <mergeCell ref="AR64:AT64"/>
    <mergeCell ref="AU64:AV64"/>
    <mergeCell ref="AW64:AX64"/>
    <mergeCell ref="Z63:AK63"/>
    <mergeCell ref="AL63:AN63"/>
    <mergeCell ref="AO63:AQ63"/>
    <mergeCell ref="AR63:AT63"/>
    <mergeCell ref="AU63:AV63"/>
    <mergeCell ref="AW63:AX63"/>
    <mergeCell ref="Z66:AK66"/>
    <mergeCell ref="AL66:AN66"/>
    <mergeCell ref="AO66:AQ66"/>
    <mergeCell ref="AR66:AT66"/>
    <mergeCell ref="AU66:AV66"/>
    <mergeCell ref="AW66:AX66"/>
    <mergeCell ref="Z65:AK65"/>
    <mergeCell ref="AL65:AN65"/>
    <mergeCell ref="AO65:AQ65"/>
    <mergeCell ref="AR65:AT65"/>
    <mergeCell ref="AU65:AV65"/>
    <mergeCell ref="AW65:AX65"/>
    <mergeCell ref="Z67:AN67"/>
    <mergeCell ref="AO67:AX67"/>
    <mergeCell ref="Z68:AN72"/>
    <mergeCell ref="AO68:AX72"/>
    <mergeCell ref="Z73:AB73"/>
    <mergeCell ref="AC73:AL73"/>
    <mergeCell ref="AM73:AN73"/>
    <mergeCell ref="AO73:AP73"/>
    <mergeCell ref="AQ73:AR73"/>
    <mergeCell ref="AS73:AT73"/>
    <mergeCell ref="AU73:AV73"/>
    <mergeCell ref="AW73:AX73"/>
    <mergeCell ref="Z74:AB74"/>
    <mergeCell ref="AC74:AL74"/>
    <mergeCell ref="AM74:AN74"/>
    <mergeCell ref="AO74:AP74"/>
    <mergeCell ref="AQ74:AR74"/>
    <mergeCell ref="AS74:AT74"/>
    <mergeCell ref="AU74:AV74"/>
    <mergeCell ref="AW74:AX74"/>
    <mergeCell ref="AU75:AV75"/>
    <mergeCell ref="AW75:AX75"/>
    <mergeCell ref="Z76:AC76"/>
    <mergeCell ref="AD76:AE76"/>
    <mergeCell ref="AF76:AK76"/>
    <mergeCell ref="AL76:AX76"/>
    <mergeCell ref="Z75:AB75"/>
    <mergeCell ref="AC75:AL75"/>
    <mergeCell ref="AM75:AN75"/>
    <mergeCell ref="AO75:AP75"/>
    <mergeCell ref="AQ75:AR75"/>
    <mergeCell ref="AS75:AT75"/>
    <mergeCell ref="Z77:AC77"/>
    <mergeCell ref="AD77:AE77"/>
    <mergeCell ref="AF77:AI77"/>
    <mergeCell ref="AJ77:AK77"/>
    <mergeCell ref="Z78:AC78"/>
    <mergeCell ref="AD78:AE78"/>
    <mergeCell ref="AF78:AI78"/>
    <mergeCell ref="AJ78:AK78"/>
    <mergeCell ref="Z79:AC79"/>
    <mergeCell ref="AL82:AO82"/>
    <mergeCell ref="AP82:AX82"/>
    <mergeCell ref="Z83:AK83"/>
    <mergeCell ref="AL83:AN83"/>
    <mergeCell ref="AO83:AQ83"/>
    <mergeCell ref="AR83:AT83"/>
    <mergeCell ref="AU83:AV83"/>
    <mergeCell ref="AW83:AX83"/>
    <mergeCell ref="Z81:AC81"/>
    <mergeCell ref="AD81:AE81"/>
    <mergeCell ref="AF81:AI81"/>
    <mergeCell ref="AJ81:AK81"/>
    <mergeCell ref="Z82:AC82"/>
    <mergeCell ref="AD82:AE82"/>
    <mergeCell ref="AF82:AI82"/>
    <mergeCell ref="AJ82:AK82"/>
    <mergeCell ref="AL77:AX81"/>
    <mergeCell ref="AD79:AE79"/>
    <mergeCell ref="AF79:AI79"/>
    <mergeCell ref="AJ79:AK79"/>
    <mergeCell ref="Z80:AC80"/>
    <mergeCell ref="AD80:AE80"/>
    <mergeCell ref="AF80:AI80"/>
    <mergeCell ref="AJ80:AK80"/>
    <mergeCell ref="Z85:AK85"/>
    <mergeCell ref="AL85:AN85"/>
    <mergeCell ref="AO85:AQ85"/>
    <mergeCell ref="AR85:AT85"/>
    <mergeCell ref="AU85:AV85"/>
    <mergeCell ref="AW85:AX85"/>
    <mergeCell ref="Z84:AK84"/>
    <mergeCell ref="AL84:AN84"/>
    <mergeCell ref="AO84:AQ84"/>
    <mergeCell ref="AR84:AT84"/>
    <mergeCell ref="AU84:AV84"/>
    <mergeCell ref="AW84:AX84"/>
    <mergeCell ref="Z87:AK87"/>
    <mergeCell ref="AL87:AN87"/>
    <mergeCell ref="AO87:AQ87"/>
    <mergeCell ref="AR87:AT87"/>
    <mergeCell ref="AU87:AV87"/>
    <mergeCell ref="AW87:AX87"/>
    <mergeCell ref="Z86:AK86"/>
    <mergeCell ref="AL86:AN86"/>
    <mergeCell ref="AO86:AQ86"/>
    <mergeCell ref="AR86:AT86"/>
    <mergeCell ref="AU86:AV86"/>
    <mergeCell ref="AW86:AX86"/>
    <mergeCell ref="Z89:AK89"/>
    <mergeCell ref="AL89:AN89"/>
    <mergeCell ref="AO89:AQ89"/>
    <mergeCell ref="AR89:AT89"/>
    <mergeCell ref="AU89:AV89"/>
    <mergeCell ref="AW89:AX89"/>
    <mergeCell ref="Z88:AK88"/>
    <mergeCell ref="AL88:AN88"/>
    <mergeCell ref="AO88:AQ88"/>
    <mergeCell ref="AR88:AT88"/>
    <mergeCell ref="AU88:AV88"/>
    <mergeCell ref="AW88:AX88"/>
    <mergeCell ref="Z91:AN91"/>
    <mergeCell ref="AO91:AX91"/>
    <mergeCell ref="Z92:AN96"/>
    <mergeCell ref="AO92:AX96"/>
    <mergeCell ref="Z90:AK90"/>
    <mergeCell ref="AL90:AN90"/>
    <mergeCell ref="AO90:AQ90"/>
    <mergeCell ref="AR90:AT90"/>
    <mergeCell ref="AU90:AV90"/>
    <mergeCell ref="AW90:AX90"/>
  </mergeCells>
  <dataValidations count="1">
    <dataValidation type="list" allowBlank="1" showInputMessage="1" showErrorMessage="1" sqref="A5:D8 A29:D32 A53:D56 A77:D80 Z5:AC8 Z29:AC32 Z53:AC56 Z77:AC80">
      <formula1>Virtues</formula1>
    </dataValidation>
  </dataValidations>
  <pageMargins left="0.7" right="0.7" top="0.75" bottom="0.75" header="0.3" footer="0.3"/>
  <pageSetup scale="97" orientation="portrait" horizontalDpi="0" verticalDpi="0" r:id="rId1"/>
  <rowBreaks count="1" manualBreakCount="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X47"/>
  <sheetViews>
    <sheetView view="pageBreakPreview" zoomScale="60" zoomScaleNormal="100" workbookViewId="0">
      <selection activeCell="P3" sqref="P3:Y3"/>
    </sheetView>
  </sheetViews>
  <sheetFormatPr defaultRowHeight="15" x14ac:dyDescent="0.25"/>
  <cols>
    <col min="1" max="50" width="3.7109375" customWidth="1"/>
  </cols>
  <sheetData>
    <row r="1" spans="1:50" x14ac:dyDescent="0.25">
      <c r="A1" s="578" t="s">
        <v>927</v>
      </c>
      <c r="B1" s="579"/>
      <c r="C1" s="579"/>
      <c r="D1" s="579"/>
      <c r="E1" s="579"/>
      <c r="F1" s="579"/>
      <c r="G1" s="579"/>
      <c r="H1" s="579"/>
      <c r="I1" s="579"/>
      <c r="J1" s="579"/>
      <c r="K1" s="579"/>
      <c r="L1" s="579"/>
      <c r="M1" s="579"/>
      <c r="N1" s="579"/>
      <c r="O1" s="579"/>
      <c r="P1" s="579"/>
      <c r="Q1" s="579"/>
      <c r="R1" s="579"/>
      <c r="S1" s="579"/>
      <c r="T1" s="579"/>
      <c r="U1" s="579"/>
      <c r="V1" s="579"/>
      <c r="W1" s="579"/>
      <c r="X1" s="579"/>
      <c r="Y1" s="580"/>
      <c r="Z1" s="578" t="s">
        <v>910</v>
      </c>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80"/>
    </row>
    <row r="2" spans="1:50" ht="15.75" thickBot="1" x14ac:dyDescent="0.3">
      <c r="A2" s="581"/>
      <c r="B2" s="582"/>
      <c r="C2" s="582"/>
      <c r="D2" s="582"/>
      <c r="E2" s="582"/>
      <c r="F2" s="582"/>
      <c r="G2" s="582"/>
      <c r="H2" s="582"/>
      <c r="I2" s="582"/>
      <c r="J2" s="582"/>
      <c r="K2" s="582"/>
      <c r="L2" s="582"/>
      <c r="M2" s="582"/>
      <c r="N2" s="582"/>
      <c r="O2" s="582"/>
      <c r="P2" s="582"/>
      <c r="Q2" s="582"/>
      <c r="R2" s="582"/>
      <c r="S2" s="582"/>
      <c r="T2" s="582"/>
      <c r="U2" s="582"/>
      <c r="V2" s="582"/>
      <c r="W2" s="582"/>
      <c r="X2" s="582"/>
      <c r="Y2" s="583"/>
      <c r="Z2" s="584"/>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6"/>
    </row>
    <row r="3" spans="1:50" x14ac:dyDescent="0.25">
      <c r="A3" s="567" t="s">
        <v>0</v>
      </c>
      <c r="B3" s="568"/>
      <c r="C3" s="568"/>
      <c r="D3" s="361"/>
      <c r="E3" s="361"/>
      <c r="F3" s="361"/>
      <c r="G3" s="361"/>
      <c r="H3" s="361"/>
      <c r="I3" s="361"/>
      <c r="J3" s="361"/>
      <c r="K3" s="361"/>
      <c r="L3" s="361"/>
      <c r="M3" s="568" t="s">
        <v>75</v>
      </c>
      <c r="N3" s="568"/>
      <c r="O3" s="568"/>
      <c r="P3" s="361"/>
      <c r="Q3" s="361"/>
      <c r="R3" s="361"/>
      <c r="S3" s="361"/>
      <c r="T3" s="361"/>
      <c r="U3" s="361"/>
      <c r="V3" s="361"/>
      <c r="W3" s="361"/>
      <c r="X3" s="361"/>
      <c r="Y3" s="477"/>
      <c r="Z3" s="589" t="s">
        <v>77</v>
      </c>
      <c r="AA3" s="587"/>
      <c r="AB3" s="587"/>
      <c r="AC3" s="587"/>
      <c r="AD3" s="587"/>
      <c r="AE3" s="587"/>
      <c r="AF3" s="587" t="s">
        <v>10</v>
      </c>
      <c r="AG3" s="587"/>
      <c r="AH3" s="587" t="s">
        <v>146</v>
      </c>
      <c r="AI3" s="587"/>
      <c r="AJ3" s="587"/>
      <c r="AK3" s="587"/>
      <c r="AL3" s="587"/>
      <c r="AM3" s="587"/>
      <c r="AN3" s="587"/>
      <c r="AO3" s="587"/>
      <c r="AP3" s="587"/>
      <c r="AQ3" s="587"/>
      <c r="AR3" s="587"/>
      <c r="AS3" s="587"/>
      <c r="AT3" s="587"/>
      <c r="AU3" s="587"/>
      <c r="AV3" s="587"/>
      <c r="AW3" s="587"/>
      <c r="AX3" s="588"/>
    </row>
    <row r="4" spans="1:50" x14ac:dyDescent="0.25">
      <c r="A4" s="569"/>
      <c r="B4" s="570"/>
      <c r="C4" s="570"/>
      <c r="D4" s="570"/>
      <c r="E4" s="570"/>
      <c r="F4" s="570"/>
      <c r="G4" s="570"/>
      <c r="H4" s="570"/>
      <c r="I4" s="570"/>
      <c r="J4" s="570"/>
      <c r="K4" s="570"/>
      <c r="L4" s="570"/>
      <c r="M4" s="570"/>
      <c r="N4" s="570"/>
      <c r="O4" s="570"/>
      <c r="P4" s="570"/>
      <c r="Q4" s="570"/>
      <c r="R4" s="570"/>
      <c r="S4" s="570"/>
      <c r="T4" s="570"/>
      <c r="U4" s="570"/>
      <c r="V4" s="570"/>
      <c r="W4" s="570"/>
      <c r="X4" s="570"/>
      <c r="Y4" s="571"/>
      <c r="Z4" s="358"/>
      <c r="AA4" s="359"/>
      <c r="AB4" s="359"/>
      <c r="AC4" s="359"/>
      <c r="AD4" s="359"/>
      <c r="AE4" s="359"/>
      <c r="AF4" s="529"/>
      <c r="AG4" s="529"/>
      <c r="AH4" s="529"/>
      <c r="AI4" s="529"/>
      <c r="AJ4" s="529"/>
      <c r="AK4" s="529"/>
      <c r="AL4" s="529"/>
      <c r="AM4" s="529"/>
      <c r="AN4" s="529"/>
      <c r="AO4" s="529"/>
      <c r="AP4" s="529"/>
      <c r="AQ4" s="529"/>
      <c r="AR4" s="529"/>
      <c r="AS4" s="529"/>
      <c r="AT4" s="529"/>
      <c r="AU4" s="529"/>
      <c r="AV4" s="529"/>
      <c r="AW4" s="529"/>
      <c r="AX4" s="530"/>
    </row>
    <row r="5" spans="1:50" x14ac:dyDescent="0.25">
      <c r="A5" s="572"/>
      <c r="B5" s="573"/>
      <c r="C5" s="573"/>
      <c r="D5" s="573"/>
      <c r="E5" s="573"/>
      <c r="F5" s="573"/>
      <c r="G5" s="573"/>
      <c r="H5" s="573"/>
      <c r="I5" s="573"/>
      <c r="J5" s="573"/>
      <c r="K5" s="573"/>
      <c r="L5" s="573"/>
      <c r="M5" s="573"/>
      <c r="N5" s="573"/>
      <c r="O5" s="573"/>
      <c r="P5" s="573"/>
      <c r="Q5" s="573"/>
      <c r="R5" s="573"/>
      <c r="S5" s="573"/>
      <c r="T5" s="573"/>
      <c r="U5" s="573"/>
      <c r="V5" s="573"/>
      <c r="W5" s="573"/>
      <c r="X5" s="573"/>
      <c r="Y5" s="574"/>
      <c r="Z5" s="358"/>
      <c r="AA5" s="359"/>
      <c r="AB5" s="359"/>
      <c r="AC5" s="359"/>
      <c r="AD5" s="359"/>
      <c r="AE5" s="359"/>
      <c r="AF5" s="529"/>
      <c r="AG5" s="529"/>
      <c r="AH5" s="529"/>
      <c r="AI5" s="529"/>
      <c r="AJ5" s="529"/>
      <c r="AK5" s="529"/>
      <c r="AL5" s="529"/>
      <c r="AM5" s="529"/>
      <c r="AN5" s="529"/>
      <c r="AO5" s="529"/>
      <c r="AP5" s="529"/>
      <c r="AQ5" s="529"/>
      <c r="AR5" s="529"/>
      <c r="AS5" s="529"/>
      <c r="AT5" s="529"/>
      <c r="AU5" s="529"/>
      <c r="AV5" s="529"/>
      <c r="AW5" s="529"/>
      <c r="AX5" s="530"/>
    </row>
    <row r="6" spans="1:50" x14ac:dyDescent="0.25">
      <c r="A6" s="572"/>
      <c r="B6" s="573"/>
      <c r="C6" s="573"/>
      <c r="D6" s="573"/>
      <c r="E6" s="573"/>
      <c r="F6" s="573"/>
      <c r="G6" s="573"/>
      <c r="H6" s="573"/>
      <c r="I6" s="573"/>
      <c r="J6" s="573"/>
      <c r="K6" s="573"/>
      <c r="L6" s="573"/>
      <c r="M6" s="573"/>
      <c r="N6" s="573"/>
      <c r="O6" s="573"/>
      <c r="P6" s="573"/>
      <c r="Q6" s="573"/>
      <c r="R6" s="573"/>
      <c r="S6" s="573"/>
      <c r="T6" s="573"/>
      <c r="U6" s="573"/>
      <c r="V6" s="573"/>
      <c r="W6" s="573"/>
      <c r="X6" s="573"/>
      <c r="Y6" s="574"/>
      <c r="Z6" s="358"/>
      <c r="AA6" s="359"/>
      <c r="AB6" s="359"/>
      <c r="AC6" s="359"/>
      <c r="AD6" s="359"/>
      <c r="AE6" s="359"/>
      <c r="AF6" s="529"/>
      <c r="AG6" s="529"/>
      <c r="AH6" s="529"/>
      <c r="AI6" s="529"/>
      <c r="AJ6" s="529"/>
      <c r="AK6" s="529"/>
      <c r="AL6" s="529"/>
      <c r="AM6" s="529"/>
      <c r="AN6" s="529"/>
      <c r="AO6" s="529"/>
      <c r="AP6" s="529"/>
      <c r="AQ6" s="529"/>
      <c r="AR6" s="529"/>
      <c r="AS6" s="529"/>
      <c r="AT6" s="529"/>
      <c r="AU6" s="529"/>
      <c r="AV6" s="529"/>
      <c r="AW6" s="529"/>
      <c r="AX6" s="530"/>
    </row>
    <row r="7" spans="1:50" ht="15.75" thickBot="1" x14ac:dyDescent="0.3">
      <c r="A7" s="575"/>
      <c r="B7" s="576"/>
      <c r="C7" s="576"/>
      <c r="D7" s="576"/>
      <c r="E7" s="576"/>
      <c r="F7" s="576"/>
      <c r="G7" s="576"/>
      <c r="H7" s="576"/>
      <c r="I7" s="576"/>
      <c r="J7" s="576"/>
      <c r="K7" s="576"/>
      <c r="L7" s="576"/>
      <c r="M7" s="576"/>
      <c r="N7" s="576"/>
      <c r="O7" s="576"/>
      <c r="P7" s="576"/>
      <c r="Q7" s="576"/>
      <c r="R7" s="576"/>
      <c r="S7" s="576"/>
      <c r="T7" s="576"/>
      <c r="U7" s="576"/>
      <c r="V7" s="576"/>
      <c r="W7" s="576"/>
      <c r="X7" s="576"/>
      <c r="Y7" s="577"/>
      <c r="Z7" s="358"/>
      <c r="AA7" s="359"/>
      <c r="AB7" s="359"/>
      <c r="AC7" s="359"/>
      <c r="AD7" s="359"/>
      <c r="AE7" s="359"/>
      <c r="AF7" s="529"/>
      <c r="AG7" s="529"/>
      <c r="AH7" s="529"/>
      <c r="AI7" s="529"/>
      <c r="AJ7" s="529"/>
      <c r="AK7" s="529"/>
      <c r="AL7" s="529"/>
      <c r="AM7" s="529"/>
      <c r="AN7" s="529"/>
      <c r="AO7" s="529"/>
      <c r="AP7" s="529"/>
      <c r="AQ7" s="529"/>
      <c r="AR7" s="529"/>
      <c r="AS7" s="529"/>
      <c r="AT7" s="529"/>
      <c r="AU7" s="529"/>
      <c r="AV7" s="529"/>
      <c r="AW7" s="529"/>
      <c r="AX7" s="530"/>
    </row>
    <row r="8" spans="1:50" x14ac:dyDescent="0.25">
      <c r="A8" s="567" t="s">
        <v>0</v>
      </c>
      <c r="B8" s="568"/>
      <c r="C8" s="568"/>
      <c r="D8" s="361"/>
      <c r="E8" s="361"/>
      <c r="F8" s="361"/>
      <c r="G8" s="361"/>
      <c r="H8" s="361"/>
      <c r="I8" s="361"/>
      <c r="J8" s="361"/>
      <c r="K8" s="361"/>
      <c r="L8" s="361"/>
      <c r="M8" s="568" t="s">
        <v>75</v>
      </c>
      <c r="N8" s="568"/>
      <c r="O8" s="568"/>
      <c r="P8" s="361"/>
      <c r="Q8" s="361"/>
      <c r="R8" s="361"/>
      <c r="S8" s="361"/>
      <c r="T8" s="361"/>
      <c r="U8" s="361"/>
      <c r="V8" s="361"/>
      <c r="W8" s="361"/>
      <c r="X8" s="361"/>
      <c r="Y8" s="477"/>
      <c r="Z8" s="358"/>
      <c r="AA8" s="359"/>
      <c r="AB8" s="359"/>
      <c r="AC8" s="359"/>
      <c r="AD8" s="359"/>
      <c r="AE8" s="359"/>
      <c r="AF8" s="529"/>
      <c r="AG8" s="529"/>
      <c r="AH8" s="529"/>
      <c r="AI8" s="529"/>
      <c r="AJ8" s="529"/>
      <c r="AK8" s="529"/>
      <c r="AL8" s="529"/>
      <c r="AM8" s="529"/>
      <c r="AN8" s="529"/>
      <c r="AO8" s="529"/>
      <c r="AP8" s="529"/>
      <c r="AQ8" s="529"/>
      <c r="AR8" s="529"/>
      <c r="AS8" s="529"/>
      <c r="AT8" s="529"/>
      <c r="AU8" s="529"/>
      <c r="AV8" s="529"/>
      <c r="AW8" s="529"/>
      <c r="AX8" s="530"/>
    </row>
    <row r="9" spans="1:50" x14ac:dyDescent="0.25">
      <c r="A9" s="569"/>
      <c r="B9" s="570"/>
      <c r="C9" s="570"/>
      <c r="D9" s="570"/>
      <c r="E9" s="570"/>
      <c r="F9" s="570"/>
      <c r="G9" s="570"/>
      <c r="H9" s="570"/>
      <c r="I9" s="570"/>
      <c r="J9" s="570"/>
      <c r="K9" s="570"/>
      <c r="L9" s="570"/>
      <c r="M9" s="570"/>
      <c r="N9" s="570"/>
      <c r="O9" s="570"/>
      <c r="P9" s="570"/>
      <c r="Q9" s="570"/>
      <c r="R9" s="570"/>
      <c r="S9" s="570"/>
      <c r="T9" s="570"/>
      <c r="U9" s="570"/>
      <c r="V9" s="570"/>
      <c r="W9" s="570"/>
      <c r="X9" s="570"/>
      <c r="Y9" s="571"/>
      <c r="Z9" s="358"/>
      <c r="AA9" s="359"/>
      <c r="AB9" s="359"/>
      <c r="AC9" s="359"/>
      <c r="AD9" s="359"/>
      <c r="AE9" s="359"/>
      <c r="AF9" s="529"/>
      <c r="AG9" s="529"/>
      <c r="AH9" s="529"/>
      <c r="AI9" s="529"/>
      <c r="AJ9" s="529"/>
      <c r="AK9" s="529"/>
      <c r="AL9" s="529"/>
      <c r="AM9" s="529"/>
      <c r="AN9" s="529"/>
      <c r="AO9" s="529"/>
      <c r="AP9" s="529"/>
      <c r="AQ9" s="529"/>
      <c r="AR9" s="529"/>
      <c r="AS9" s="529"/>
      <c r="AT9" s="529"/>
      <c r="AU9" s="529"/>
      <c r="AV9" s="529"/>
      <c r="AW9" s="529"/>
      <c r="AX9" s="530"/>
    </row>
    <row r="10" spans="1:50" x14ac:dyDescent="0.25">
      <c r="A10" s="572"/>
      <c r="B10" s="573"/>
      <c r="C10" s="573"/>
      <c r="D10" s="573"/>
      <c r="E10" s="573"/>
      <c r="F10" s="573"/>
      <c r="G10" s="573"/>
      <c r="H10" s="573"/>
      <c r="I10" s="573"/>
      <c r="J10" s="573"/>
      <c r="K10" s="573"/>
      <c r="L10" s="573"/>
      <c r="M10" s="573"/>
      <c r="N10" s="573"/>
      <c r="O10" s="573"/>
      <c r="P10" s="573"/>
      <c r="Q10" s="573"/>
      <c r="R10" s="573"/>
      <c r="S10" s="573"/>
      <c r="T10" s="573"/>
      <c r="U10" s="573"/>
      <c r="V10" s="573"/>
      <c r="W10" s="573"/>
      <c r="X10" s="573"/>
      <c r="Y10" s="574"/>
      <c r="Z10" s="358"/>
      <c r="AA10" s="359"/>
      <c r="AB10" s="359"/>
      <c r="AC10" s="359"/>
      <c r="AD10" s="359"/>
      <c r="AE10" s="359"/>
      <c r="AF10" s="529"/>
      <c r="AG10" s="529"/>
      <c r="AH10" s="529"/>
      <c r="AI10" s="529"/>
      <c r="AJ10" s="529"/>
      <c r="AK10" s="529"/>
      <c r="AL10" s="529"/>
      <c r="AM10" s="529"/>
      <c r="AN10" s="529"/>
      <c r="AO10" s="529"/>
      <c r="AP10" s="529"/>
      <c r="AQ10" s="529"/>
      <c r="AR10" s="529"/>
      <c r="AS10" s="529"/>
      <c r="AT10" s="529"/>
      <c r="AU10" s="529"/>
      <c r="AV10" s="529"/>
      <c r="AW10" s="529"/>
      <c r="AX10" s="530"/>
    </row>
    <row r="11" spans="1:50" x14ac:dyDescent="0.25">
      <c r="A11" s="572"/>
      <c r="B11" s="573"/>
      <c r="C11" s="573"/>
      <c r="D11" s="573"/>
      <c r="E11" s="573"/>
      <c r="F11" s="573"/>
      <c r="G11" s="573"/>
      <c r="H11" s="573"/>
      <c r="I11" s="573"/>
      <c r="J11" s="573"/>
      <c r="K11" s="573"/>
      <c r="L11" s="573"/>
      <c r="M11" s="573"/>
      <c r="N11" s="573"/>
      <c r="O11" s="573"/>
      <c r="P11" s="573"/>
      <c r="Q11" s="573"/>
      <c r="R11" s="573"/>
      <c r="S11" s="573"/>
      <c r="T11" s="573"/>
      <c r="U11" s="573"/>
      <c r="V11" s="573"/>
      <c r="W11" s="573"/>
      <c r="X11" s="573"/>
      <c r="Y11" s="574"/>
      <c r="Z11" s="358"/>
      <c r="AA11" s="359"/>
      <c r="AB11" s="359"/>
      <c r="AC11" s="359"/>
      <c r="AD11" s="359"/>
      <c r="AE11" s="359"/>
      <c r="AF11" s="529"/>
      <c r="AG11" s="529"/>
      <c r="AH11" s="529"/>
      <c r="AI11" s="529"/>
      <c r="AJ11" s="529"/>
      <c r="AK11" s="529"/>
      <c r="AL11" s="529"/>
      <c r="AM11" s="529"/>
      <c r="AN11" s="529"/>
      <c r="AO11" s="529"/>
      <c r="AP11" s="529"/>
      <c r="AQ11" s="529"/>
      <c r="AR11" s="529"/>
      <c r="AS11" s="529"/>
      <c r="AT11" s="529"/>
      <c r="AU11" s="529"/>
      <c r="AV11" s="529"/>
      <c r="AW11" s="529"/>
      <c r="AX11" s="530"/>
    </row>
    <row r="12" spans="1:50" ht="15.75" thickBot="1" x14ac:dyDescent="0.3">
      <c r="A12" s="575"/>
      <c r="B12" s="576"/>
      <c r="C12" s="576"/>
      <c r="D12" s="576"/>
      <c r="E12" s="576"/>
      <c r="F12" s="576"/>
      <c r="G12" s="576"/>
      <c r="H12" s="576"/>
      <c r="I12" s="576"/>
      <c r="J12" s="576"/>
      <c r="K12" s="576"/>
      <c r="L12" s="576"/>
      <c r="M12" s="576"/>
      <c r="N12" s="576"/>
      <c r="O12" s="576"/>
      <c r="P12" s="576"/>
      <c r="Q12" s="576"/>
      <c r="R12" s="576"/>
      <c r="S12" s="576"/>
      <c r="T12" s="576"/>
      <c r="U12" s="576"/>
      <c r="V12" s="576"/>
      <c r="W12" s="576"/>
      <c r="X12" s="576"/>
      <c r="Y12" s="577"/>
      <c r="Z12" s="358"/>
      <c r="AA12" s="359"/>
      <c r="AB12" s="359"/>
      <c r="AC12" s="359"/>
      <c r="AD12" s="359"/>
      <c r="AE12" s="359"/>
      <c r="AF12" s="529"/>
      <c r="AG12" s="529"/>
      <c r="AH12" s="529"/>
      <c r="AI12" s="529"/>
      <c r="AJ12" s="529"/>
      <c r="AK12" s="529"/>
      <c r="AL12" s="529"/>
      <c r="AM12" s="529"/>
      <c r="AN12" s="529"/>
      <c r="AO12" s="529"/>
      <c r="AP12" s="529"/>
      <c r="AQ12" s="529"/>
      <c r="AR12" s="529"/>
      <c r="AS12" s="529"/>
      <c r="AT12" s="529"/>
      <c r="AU12" s="529"/>
      <c r="AV12" s="529"/>
      <c r="AW12" s="529"/>
      <c r="AX12" s="530"/>
    </row>
    <row r="13" spans="1:50" x14ac:dyDescent="0.25">
      <c r="A13" s="567" t="s">
        <v>0</v>
      </c>
      <c r="B13" s="568"/>
      <c r="C13" s="568"/>
      <c r="D13" s="361"/>
      <c r="E13" s="361"/>
      <c r="F13" s="361"/>
      <c r="G13" s="361"/>
      <c r="H13" s="361"/>
      <c r="I13" s="361"/>
      <c r="J13" s="361"/>
      <c r="K13" s="361"/>
      <c r="L13" s="361"/>
      <c r="M13" s="568" t="s">
        <v>75</v>
      </c>
      <c r="N13" s="568"/>
      <c r="O13" s="568"/>
      <c r="P13" s="361"/>
      <c r="Q13" s="361"/>
      <c r="R13" s="361"/>
      <c r="S13" s="361"/>
      <c r="T13" s="361"/>
      <c r="U13" s="361"/>
      <c r="V13" s="361"/>
      <c r="W13" s="361"/>
      <c r="X13" s="361"/>
      <c r="Y13" s="477"/>
      <c r="Z13" s="358"/>
      <c r="AA13" s="359"/>
      <c r="AB13" s="359"/>
      <c r="AC13" s="359"/>
      <c r="AD13" s="359"/>
      <c r="AE13" s="359"/>
      <c r="AF13" s="529"/>
      <c r="AG13" s="529"/>
      <c r="AH13" s="529"/>
      <c r="AI13" s="529"/>
      <c r="AJ13" s="529"/>
      <c r="AK13" s="529"/>
      <c r="AL13" s="529"/>
      <c r="AM13" s="529"/>
      <c r="AN13" s="529"/>
      <c r="AO13" s="529"/>
      <c r="AP13" s="529"/>
      <c r="AQ13" s="529"/>
      <c r="AR13" s="529"/>
      <c r="AS13" s="529"/>
      <c r="AT13" s="529"/>
      <c r="AU13" s="529"/>
      <c r="AV13" s="529"/>
      <c r="AW13" s="529"/>
      <c r="AX13" s="530"/>
    </row>
    <row r="14" spans="1:50" x14ac:dyDescent="0.25">
      <c r="A14" s="569"/>
      <c r="B14" s="570"/>
      <c r="C14" s="570"/>
      <c r="D14" s="570"/>
      <c r="E14" s="570"/>
      <c r="F14" s="570"/>
      <c r="G14" s="570"/>
      <c r="H14" s="570"/>
      <c r="I14" s="570"/>
      <c r="J14" s="570"/>
      <c r="K14" s="570"/>
      <c r="L14" s="570"/>
      <c r="M14" s="570"/>
      <c r="N14" s="570"/>
      <c r="O14" s="570"/>
      <c r="P14" s="570"/>
      <c r="Q14" s="570"/>
      <c r="R14" s="570"/>
      <c r="S14" s="570"/>
      <c r="T14" s="570"/>
      <c r="U14" s="570"/>
      <c r="V14" s="570"/>
      <c r="W14" s="570"/>
      <c r="X14" s="570"/>
      <c r="Y14" s="571"/>
      <c r="Z14" s="358"/>
      <c r="AA14" s="359"/>
      <c r="AB14" s="359"/>
      <c r="AC14" s="359"/>
      <c r="AD14" s="359"/>
      <c r="AE14" s="359"/>
      <c r="AF14" s="529"/>
      <c r="AG14" s="529"/>
      <c r="AH14" s="529"/>
      <c r="AI14" s="529"/>
      <c r="AJ14" s="529"/>
      <c r="AK14" s="529"/>
      <c r="AL14" s="529"/>
      <c r="AM14" s="529"/>
      <c r="AN14" s="529"/>
      <c r="AO14" s="529"/>
      <c r="AP14" s="529"/>
      <c r="AQ14" s="529"/>
      <c r="AR14" s="529"/>
      <c r="AS14" s="529"/>
      <c r="AT14" s="529"/>
      <c r="AU14" s="529"/>
      <c r="AV14" s="529"/>
      <c r="AW14" s="529"/>
      <c r="AX14" s="530"/>
    </row>
    <row r="15" spans="1:50" x14ac:dyDescent="0.25">
      <c r="A15" s="572"/>
      <c r="B15" s="573"/>
      <c r="C15" s="573"/>
      <c r="D15" s="573"/>
      <c r="E15" s="573"/>
      <c r="F15" s="573"/>
      <c r="G15" s="573"/>
      <c r="H15" s="573"/>
      <c r="I15" s="573"/>
      <c r="J15" s="573"/>
      <c r="K15" s="573"/>
      <c r="L15" s="573"/>
      <c r="M15" s="573"/>
      <c r="N15" s="573"/>
      <c r="O15" s="573"/>
      <c r="P15" s="573"/>
      <c r="Q15" s="573"/>
      <c r="R15" s="573"/>
      <c r="S15" s="573"/>
      <c r="T15" s="573"/>
      <c r="U15" s="573"/>
      <c r="V15" s="573"/>
      <c r="W15" s="573"/>
      <c r="X15" s="573"/>
      <c r="Y15" s="574"/>
      <c r="Z15" s="358"/>
      <c r="AA15" s="359"/>
      <c r="AB15" s="359"/>
      <c r="AC15" s="359"/>
      <c r="AD15" s="359"/>
      <c r="AE15" s="359"/>
      <c r="AF15" s="529"/>
      <c r="AG15" s="529"/>
      <c r="AH15" s="529"/>
      <c r="AI15" s="529"/>
      <c r="AJ15" s="529"/>
      <c r="AK15" s="529"/>
      <c r="AL15" s="529"/>
      <c r="AM15" s="529"/>
      <c r="AN15" s="529"/>
      <c r="AO15" s="529"/>
      <c r="AP15" s="529"/>
      <c r="AQ15" s="529"/>
      <c r="AR15" s="529"/>
      <c r="AS15" s="529"/>
      <c r="AT15" s="529"/>
      <c r="AU15" s="529"/>
      <c r="AV15" s="529"/>
      <c r="AW15" s="529"/>
      <c r="AX15" s="530"/>
    </row>
    <row r="16" spans="1:50" x14ac:dyDescent="0.25">
      <c r="A16" s="572"/>
      <c r="B16" s="573"/>
      <c r="C16" s="573"/>
      <c r="D16" s="573"/>
      <c r="E16" s="573"/>
      <c r="F16" s="573"/>
      <c r="G16" s="573"/>
      <c r="H16" s="573"/>
      <c r="I16" s="573"/>
      <c r="J16" s="573"/>
      <c r="K16" s="573"/>
      <c r="L16" s="573"/>
      <c r="M16" s="573"/>
      <c r="N16" s="573"/>
      <c r="O16" s="573"/>
      <c r="P16" s="573"/>
      <c r="Q16" s="573"/>
      <c r="R16" s="573"/>
      <c r="S16" s="573"/>
      <c r="T16" s="573"/>
      <c r="U16" s="573"/>
      <c r="V16" s="573"/>
      <c r="W16" s="573"/>
      <c r="X16" s="573"/>
      <c r="Y16" s="574"/>
      <c r="Z16" s="358"/>
      <c r="AA16" s="359"/>
      <c r="AB16" s="359"/>
      <c r="AC16" s="359"/>
      <c r="AD16" s="359"/>
      <c r="AE16" s="359"/>
      <c r="AF16" s="529"/>
      <c r="AG16" s="529"/>
      <c r="AH16" s="529"/>
      <c r="AI16" s="529"/>
      <c r="AJ16" s="529"/>
      <c r="AK16" s="529"/>
      <c r="AL16" s="529"/>
      <c r="AM16" s="529"/>
      <c r="AN16" s="529"/>
      <c r="AO16" s="529"/>
      <c r="AP16" s="529"/>
      <c r="AQ16" s="529"/>
      <c r="AR16" s="529"/>
      <c r="AS16" s="529"/>
      <c r="AT16" s="529"/>
      <c r="AU16" s="529"/>
      <c r="AV16" s="529"/>
      <c r="AW16" s="529"/>
      <c r="AX16" s="530"/>
    </row>
    <row r="17" spans="1:50" ht="15.75" thickBot="1" x14ac:dyDescent="0.3">
      <c r="A17" s="575"/>
      <c r="B17" s="576"/>
      <c r="C17" s="576"/>
      <c r="D17" s="576"/>
      <c r="E17" s="576"/>
      <c r="F17" s="576"/>
      <c r="G17" s="576"/>
      <c r="H17" s="576"/>
      <c r="I17" s="576"/>
      <c r="J17" s="576"/>
      <c r="K17" s="576"/>
      <c r="L17" s="576"/>
      <c r="M17" s="576"/>
      <c r="N17" s="576"/>
      <c r="O17" s="576"/>
      <c r="P17" s="576"/>
      <c r="Q17" s="576"/>
      <c r="R17" s="576"/>
      <c r="S17" s="576"/>
      <c r="T17" s="576"/>
      <c r="U17" s="576"/>
      <c r="V17" s="576"/>
      <c r="W17" s="576"/>
      <c r="X17" s="576"/>
      <c r="Y17" s="577"/>
      <c r="Z17" s="358"/>
      <c r="AA17" s="359"/>
      <c r="AB17" s="359"/>
      <c r="AC17" s="359"/>
      <c r="AD17" s="359"/>
      <c r="AE17" s="359"/>
      <c r="AF17" s="529"/>
      <c r="AG17" s="529"/>
      <c r="AH17" s="529"/>
      <c r="AI17" s="529"/>
      <c r="AJ17" s="529"/>
      <c r="AK17" s="529"/>
      <c r="AL17" s="529"/>
      <c r="AM17" s="529"/>
      <c r="AN17" s="529"/>
      <c r="AO17" s="529"/>
      <c r="AP17" s="529"/>
      <c r="AQ17" s="529"/>
      <c r="AR17" s="529"/>
      <c r="AS17" s="529"/>
      <c r="AT17" s="529"/>
      <c r="AU17" s="529"/>
      <c r="AV17" s="529"/>
      <c r="AW17" s="529"/>
      <c r="AX17" s="530"/>
    </row>
    <row r="18" spans="1:50" x14ac:dyDescent="0.25">
      <c r="A18" s="567" t="s">
        <v>0</v>
      </c>
      <c r="B18" s="568"/>
      <c r="C18" s="568"/>
      <c r="D18" s="361"/>
      <c r="E18" s="361"/>
      <c r="F18" s="361"/>
      <c r="G18" s="361"/>
      <c r="H18" s="361"/>
      <c r="I18" s="361"/>
      <c r="J18" s="361"/>
      <c r="K18" s="361"/>
      <c r="L18" s="361"/>
      <c r="M18" s="568" t="s">
        <v>75</v>
      </c>
      <c r="N18" s="568"/>
      <c r="O18" s="568"/>
      <c r="P18" s="361"/>
      <c r="Q18" s="361"/>
      <c r="R18" s="361"/>
      <c r="S18" s="361"/>
      <c r="T18" s="361"/>
      <c r="U18" s="361"/>
      <c r="V18" s="361"/>
      <c r="W18" s="361"/>
      <c r="X18" s="361"/>
      <c r="Y18" s="477"/>
      <c r="Z18" s="358"/>
      <c r="AA18" s="359"/>
      <c r="AB18" s="359"/>
      <c r="AC18" s="359"/>
      <c r="AD18" s="359"/>
      <c r="AE18" s="359"/>
      <c r="AF18" s="529"/>
      <c r="AG18" s="529"/>
      <c r="AH18" s="529"/>
      <c r="AI18" s="529"/>
      <c r="AJ18" s="529"/>
      <c r="AK18" s="529"/>
      <c r="AL18" s="529"/>
      <c r="AM18" s="529"/>
      <c r="AN18" s="529"/>
      <c r="AO18" s="529"/>
      <c r="AP18" s="529"/>
      <c r="AQ18" s="529"/>
      <c r="AR18" s="529"/>
      <c r="AS18" s="529"/>
      <c r="AT18" s="529"/>
      <c r="AU18" s="529"/>
      <c r="AV18" s="529"/>
      <c r="AW18" s="529"/>
      <c r="AX18" s="530"/>
    </row>
    <row r="19" spans="1:50" x14ac:dyDescent="0.25">
      <c r="A19" s="569"/>
      <c r="B19" s="570"/>
      <c r="C19" s="570"/>
      <c r="D19" s="570"/>
      <c r="E19" s="570"/>
      <c r="F19" s="570"/>
      <c r="G19" s="570"/>
      <c r="H19" s="570"/>
      <c r="I19" s="570"/>
      <c r="J19" s="570"/>
      <c r="K19" s="570"/>
      <c r="L19" s="570"/>
      <c r="M19" s="570"/>
      <c r="N19" s="570"/>
      <c r="O19" s="570"/>
      <c r="P19" s="570"/>
      <c r="Q19" s="570"/>
      <c r="R19" s="570"/>
      <c r="S19" s="570"/>
      <c r="T19" s="570"/>
      <c r="U19" s="570"/>
      <c r="V19" s="570"/>
      <c r="W19" s="570"/>
      <c r="X19" s="570"/>
      <c r="Y19" s="571"/>
      <c r="Z19" s="358"/>
      <c r="AA19" s="359"/>
      <c r="AB19" s="359"/>
      <c r="AC19" s="359"/>
      <c r="AD19" s="359"/>
      <c r="AE19" s="359"/>
      <c r="AF19" s="529"/>
      <c r="AG19" s="529"/>
      <c r="AH19" s="529"/>
      <c r="AI19" s="529"/>
      <c r="AJ19" s="529"/>
      <c r="AK19" s="529"/>
      <c r="AL19" s="529"/>
      <c r="AM19" s="529"/>
      <c r="AN19" s="529"/>
      <c r="AO19" s="529"/>
      <c r="AP19" s="529"/>
      <c r="AQ19" s="529"/>
      <c r="AR19" s="529"/>
      <c r="AS19" s="529"/>
      <c r="AT19" s="529"/>
      <c r="AU19" s="529"/>
      <c r="AV19" s="529"/>
      <c r="AW19" s="529"/>
      <c r="AX19" s="530"/>
    </row>
    <row r="20" spans="1:50" x14ac:dyDescent="0.25">
      <c r="A20" s="572"/>
      <c r="B20" s="573"/>
      <c r="C20" s="573"/>
      <c r="D20" s="573"/>
      <c r="E20" s="573"/>
      <c r="F20" s="573"/>
      <c r="G20" s="573"/>
      <c r="H20" s="573"/>
      <c r="I20" s="573"/>
      <c r="J20" s="573"/>
      <c r="K20" s="573"/>
      <c r="L20" s="573"/>
      <c r="M20" s="573"/>
      <c r="N20" s="573"/>
      <c r="O20" s="573"/>
      <c r="P20" s="573"/>
      <c r="Q20" s="573"/>
      <c r="R20" s="573"/>
      <c r="S20" s="573"/>
      <c r="T20" s="573"/>
      <c r="U20" s="573"/>
      <c r="V20" s="573"/>
      <c r="W20" s="573"/>
      <c r="X20" s="573"/>
      <c r="Y20" s="574"/>
      <c r="Z20" s="358"/>
      <c r="AA20" s="359"/>
      <c r="AB20" s="359"/>
      <c r="AC20" s="359"/>
      <c r="AD20" s="359"/>
      <c r="AE20" s="359"/>
      <c r="AF20" s="529"/>
      <c r="AG20" s="529"/>
      <c r="AH20" s="529"/>
      <c r="AI20" s="529"/>
      <c r="AJ20" s="529"/>
      <c r="AK20" s="529"/>
      <c r="AL20" s="529"/>
      <c r="AM20" s="529"/>
      <c r="AN20" s="529"/>
      <c r="AO20" s="529"/>
      <c r="AP20" s="529"/>
      <c r="AQ20" s="529"/>
      <c r="AR20" s="529"/>
      <c r="AS20" s="529"/>
      <c r="AT20" s="529"/>
      <c r="AU20" s="529"/>
      <c r="AV20" s="529"/>
      <c r="AW20" s="529"/>
      <c r="AX20" s="530"/>
    </row>
    <row r="21" spans="1:50" x14ac:dyDescent="0.25">
      <c r="A21" s="572"/>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4"/>
      <c r="Z21" s="358"/>
      <c r="AA21" s="359"/>
      <c r="AB21" s="359"/>
      <c r="AC21" s="359"/>
      <c r="AD21" s="359"/>
      <c r="AE21" s="359"/>
      <c r="AF21" s="529"/>
      <c r="AG21" s="529"/>
      <c r="AH21" s="529"/>
      <c r="AI21" s="529"/>
      <c r="AJ21" s="529"/>
      <c r="AK21" s="529"/>
      <c r="AL21" s="529"/>
      <c r="AM21" s="529"/>
      <c r="AN21" s="529"/>
      <c r="AO21" s="529"/>
      <c r="AP21" s="529"/>
      <c r="AQ21" s="529"/>
      <c r="AR21" s="529"/>
      <c r="AS21" s="529"/>
      <c r="AT21" s="529"/>
      <c r="AU21" s="529"/>
      <c r="AV21" s="529"/>
      <c r="AW21" s="529"/>
      <c r="AX21" s="530"/>
    </row>
    <row r="22" spans="1:50" ht="15.75" thickBot="1" x14ac:dyDescent="0.3">
      <c r="A22" s="575"/>
      <c r="B22" s="576"/>
      <c r="C22" s="576"/>
      <c r="D22" s="576"/>
      <c r="E22" s="576"/>
      <c r="F22" s="576"/>
      <c r="G22" s="576"/>
      <c r="H22" s="576"/>
      <c r="I22" s="576"/>
      <c r="J22" s="576"/>
      <c r="K22" s="576"/>
      <c r="L22" s="576"/>
      <c r="M22" s="576"/>
      <c r="N22" s="576"/>
      <c r="O22" s="576"/>
      <c r="P22" s="576"/>
      <c r="Q22" s="576"/>
      <c r="R22" s="576"/>
      <c r="S22" s="576"/>
      <c r="T22" s="576"/>
      <c r="U22" s="576"/>
      <c r="V22" s="576"/>
      <c r="W22" s="576"/>
      <c r="X22" s="576"/>
      <c r="Y22" s="577"/>
      <c r="Z22" s="358"/>
      <c r="AA22" s="359"/>
      <c r="AB22" s="359"/>
      <c r="AC22" s="359"/>
      <c r="AD22" s="359"/>
      <c r="AE22" s="359"/>
      <c r="AF22" s="529"/>
      <c r="AG22" s="529"/>
      <c r="AH22" s="529"/>
      <c r="AI22" s="529"/>
      <c r="AJ22" s="529"/>
      <c r="AK22" s="529"/>
      <c r="AL22" s="529"/>
      <c r="AM22" s="529"/>
      <c r="AN22" s="529"/>
      <c r="AO22" s="529"/>
      <c r="AP22" s="529"/>
      <c r="AQ22" s="529"/>
      <c r="AR22" s="529"/>
      <c r="AS22" s="529"/>
      <c r="AT22" s="529"/>
      <c r="AU22" s="529"/>
      <c r="AV22" s="529"/>
      <c r="AW22" s="529"/>
      <c r="AX22" s="530"/>
    </row>
    <row r="23" spans="1:50" x14ac:dyDescent="0.25">
      <c r="A23" s="567" t="s">
        <v>0</v>
      </c>
      <c r="B23" s="568"/>
      <c r="C23" s="568"/>
      <c r="D23" s="361"/>
      <c r="E23" s="361"/>
      <c r="F23" s="361"/>
      <c r="G23" s="361"/>
      <c r="H23" s="361"/>
      <c r="I23" s="361"/>
      <c r="J23" s="361"/>
      <c r="K23" s="361"/>
      <c r="L23" s="361"/>
      <c r="M23" s="568" t="s">
        <v>75</v>
      </c>
      <c r="N23" s="568"/>
      <c r="O23" s="568"/>
      <c r="P23" s="361"/>
      <c r="Q23" s="361"/>
      <c r="R23" s="361"/>
      <c r="S23" s="361"/>
      <c r="T23" s="361"/>
      <c r="U23" s="361"/>
      <c r="V23" s="361"/>
      <c r="W23" s="361"/>
      <c r="X23" s="361"/>
      <c r="Y23" s="477"/>
      <c r="Z23" s="358"/>
      <c r="AA23" s="359"/>
      <c r="AB23" s="359"/>
      <c r="AC23" s="359"/>
      <c r="AD23" s="359"/>
      <c r="AE23" s="359"/>
      <c r="AF23" s="529"/>
      <c r="AG23" s="529"/>
      <c r="AH23" s="529"/>
      <c r="AI23" s="529"/>
      <c r="AJ23" s="529"/>
      <c r="AK23" s="529"/>
      <c r="AL23" s="529"/>
      <c r="AM23" s="529"/>
      <c r="AN23" s="529"/>
      <c r="AO23" s="529"/>
      <c r="AP23" s="529"/>
      <c r="AQ23" s="529"/>
      <c r="AR23" s="529"/>
      <c r="AS23" s="529"/>
      <c r="AT23" s="529"/>
      <c r="AU23" s="529"/>
      <c r="AV23" s="529"/>
      <c r="AW23" s="529"/>
      <c r="AX23" s="530"/>
    </row>
    <row r="24" spans="1:50" x14ac:dyDescent="0.25">
      <c r="A24" s="569"/>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1"/>
      <c r="Z24" s="358"/>
      <c r="AA24" s="359"/>
      <c r="AB24" s="359"/>
      <c r="AC24" s="359"/>
      <c r="AD24" s="359"/>
      <c r="AE24" s="359"/>
      <c r="AF24" s="529"/>
      <c r="AG24" s="529"/>
      <c r="AH24" s="529"/>
      <c r="AI24" s="529"/>
      <c r="AJ24" s="529"/>
      <c r="AK24" s="529"/>
      <c r="AL24" s="529"/>
      <c r="AM24" s="529"/>
      <c r="AN24" s="529"/>
      <c r="AO24" s="529"/>
      <c r="AP24" s="529"/>
      <c r="AQ24" s="529"/>
      <c r="AR24" s="529"/>
      <c r="AS24" s="529"/>
      <c r="AT24" s="529"/>
      <c r="AU24" s="529"/>
      <c r="AV24" s="529"/>
      <c r="AW24" s="529"/>
      <c r="AX24" s="530"/>
    </row>
    <row r="25" spans="1:50" x14ac:dyDescent="0.25">
      <c r="A25" s="572"/>
      <c r="B25" s="573"/>
      <c r="C25" s="573"/>
      <c r="D25" s="573"/>
      <c r="E25" s="573"/>
      <c r="F25" s="573"/>
      <c r="G25" s="573"/>
      <c r="H25" s="573"/>
      <c r="I25" s="573"/>
      <c r="J25" s="573"/>
      <c r="K25" s="573"/>
      <c r="L25" s="573"/>
      <c r="M25" s="573"/>
      <c r="N25" s="573"/>
      <c r="O25" s="573"/>
      <c r="P25" s="573"/>
      <c r="Q25" s="573"/>
      <c r="R25" s="573"/>
      <c r="S25" s="573"/>
      <c r="T25" s="573"/>
      <c r="U25" s="573"/>
      <c r="V25" s="573"/>
      <c r="W25" s="573"/>
      <c r="X25" s="573"/>
      <c r="Y25" s="574"/>
      <c r="Z25" s="358"/>
      <c r="AA25" s="359"/>
      <c r="AB25" s="359"/>
      <c r="AC25" s="359"/>
      <c r="AD25" s="359"/>
      <c r="AE25" s="359"/>
      <c r="AF25" s="529"/>
      <c r="AG25" s="529"/>
      <c r="AH25" s="529"/>
      <c r="AI25" s="529"/>
      <c r="AJ25" s="529"/>
      <c r="AK25" s="529"/>
      <c r="AL25" s="529"/>
      <c r="AM25" s="529"/>
      <c r="AN25" s="529"/>
      <c r="AO25" s="529"/>
      <c r="AP25" s="529"/>
      <c r="AQ25" s="529"/>
      <c r="AR25" s="529"/>
      <c r="AS25" s="529"/>
      <c r="AT25" s="529"/>
      <c r="AU25" s="529"/>
      <c r="AV25" s="529"/>
      <c r="AW25" s="529"/>
      <c r="AX25" s="530"/>
    </row>
    <row r="26" spans="1:50" x14ac:dyDescent="0.25">
      <c r="A26" s="572"/>
      <c r="B26" s="573"/>
      <c r="C26" s="573"/>
      <c r="D26" s="573"/>
      <c r="E26" s="573"/>
      <c r="F26" s="573"/>
      <c r="G26" s="573"/>
      <c r="H26" s="573"/>
      <c r="I26" s="573"/>
      <c r="J26" s="573"/>
      <c r="K26" s="573"/>
      <c r="L26" s="573"/>
      <c r="M26" s="573"/>
      <c r="N26" s="573"/>
      <c r="O26" s="573"/>
      <c r="P26" s="573"/>
      <c r="Q26" s="573"/>
      <c r="R26" s="573"/>
      <c r="S26" s="573"/>
      <c r="T26" s="573"/>
      <c r="U26" s="573"/>
      <c r="V26" s="573"/>
      <c r="W26" s="573"/>
      <c r="X26" s="573"/>
      <c r="Y26" s="574"/>
      <c r="Z26" s="358"/>
      <c r="AA26" s="359"/>
      <c r="AB26" s="359"/>
      <c r="AC26" s="359"/>
      <c r="AD26" s="359"/>
      <c r="AE26" s="359"/>
      <c r="AF26" s="529"/>
      <c r="AG26" s="529"/>
      <c r="AH26" s="529"/>
      <c r="AI26" s="529"/>
      <c r="AJ26" s="529"/>
      <c r="AK26" s="529"/>
      <c r="AL26" s="529"/>
      <c r="AM26" s="529"/>
      <c r="AN26" s="529"/>
      <c r="AO26" s="529"/>
      <c r="AP26" s="529"/>
      <c r="AQ26" s="529"/>
      <c r="AR26" s="529"/>
      <c r="AS26" s="529"/>
      <c r="AT26" s="529"/>
      <c r="AU26" s="529"/>
      <c r="AV26" s="529"/>
      <c r="AW26" s="529"/>
      <c r="AX26" s="530"/>
    </row>
    <row r="27" spans="1:50" ht="15.75" thickBot="1" x14ac:dyDescent="0.3">
      <c r="A27" s="575"/>
      <c r="B27" s="576"/>
      <c r="C27" s="576"/>
      <c r="D27" s="576"/>
      <c r="E27" s="576"/>
      <c r="F27" s="576"/>
      <c r="G27" s="576"/>
      <c r="H27" s="576"/>
      <c r="I27" s="576"/>
      <c r="J27" s="576"/>
      <c r="K27" s="576"/>
      <c r="L27" s="576"/>
      <c r="M27" s="576"/>
      <c r="N27" s="576"/>
      <c r="O27" s="576"/>
      <c r="P27" s="576"/>
      <c r="Q27" s="576"/>
      <c r="R27" s="576"/>
      <c r="S27" s="576"/>
      <c r="T27" s="576"/>
      <c r="U27" s="576"/>
      <c r="V27" s="576"/>
      <c r="W27" s="576"/>
      <c r="X27" s="576"/>
      <c r="Y27" s="577"/>
      <c r="Z27" s="358"/>
      <c r="AA27" s="359"/>
      <c r="AB27" s="359"/>
      <c r="AC27" s="359"/>
      <c r="AD27" s="359"/>
      <c r="AE27" s="359"/>
      <c r="AF27" s="529"/>
      <c r="AG27" s="529"/>
      <c r="AH27" s="529"/>
      <c r="AI27" s="529"/>
      <c r="AJ27" s="529"/>
      <c r="AK27" s="529"/>
      <c r="AL27" s="529"/>
      <c r="AM27" s="529"/>
      <c r="AN27" s="529"/>
      <c r="AO27" s="529"/>
      <c r="AP27" s="529"/>
      <c r="AQ27" s="529"/>
      <c r="AR27" s="529"/>
      <c r="AS27" s="529"/>
      <c r="AT27" s="529"/>
      <c r="AU27" s="529"/>
      <c r="AV27" s="529"/>
      <c r="AW27" s="529"/>
      <c r="AX27" s="530"/>
    </row>
    <row r="28" spans="1:50" x14ac:dyDescent="0.25">
      <c r="A28" s="567" t="s">
        <v>0</v>
      </c>
      <c r="B28" s="568"/>
      <c r="C28" s="568"/>
      <c r="D28" s="361"/>
      <c r="E28" s="361"/>
      <c r="F28" s="361"/>
      <c r="G28" s="361"/>
      <c r="H28" s="361"/>
      <c r="I28" s="361"/>
      <c r="J28" s="361"/>
      <c r="K28" s="361"/>
      <c r="L28" s="361"/>
      <c r="M28" s="568" t="s">
        <v>75</v>
      </c>
      <c r="N28" s="568"/>
      <c r="O28" s="568"/>
      <c r="P28" s="361"/>
      <c r="Q28" s="361"/>
      <c r="R28" s="361"/>
      <c r="S28" s="361"/>
      <c r="T28" s="361"/>
      <c r="U28" s="361"/>
      <c r="V28" s="361"/>
      <c r="W28" s="361"/>
      <c r="X28" s="361"/>
      <c r="Y28" s="477"/>
      <c r="Z28" s="358"/>
      <c r="AA28" s="359"/>
      <c r="AB28" s="359"/>
      <c r="AC28" s="359"/>
      <c r="AD28" s="359"/>
      <c r="AE28" s="359"/>
      <c r="AF28" s="529"/>
      <c r="AG28" s="529"/>
      <c r="AH28" s="529"/>
      <c r="AI28" s="529"/>
      <c r="AJ28" s="529"/>
      <c r="AK28" s="529"/>
      <c r="AL28" s="529"/>
      <c r="AM28" s="529"/>
      <c r="AN28" s="529"/>
      <c r="AO28" s="529"/>
      <c r="AP28" s="529"/>
      <c r="AQ28" s="529"/>
      <c r="AR28" s="529"/>
      <c r="AS28" s="529"/>
      <c r="AT28" s="529"/>
      <c r="AU28" s="529"/>
      <c r="AV28" s="529"/>
      <c r="AW28" s="529"/>
      <c r="AX28" s="530"/>
    </row>
    <row r="29" spans="1:50" x14ac:dyDescent="0.25">
      <c r="A29" s="569"/>
      <c r="B29" s="570"/>
      <c r="C29" s="570"/>
      <c r="D29" s="570"/>
      <c r="E29" s="570"/>
      <c r="F29" s="570"/>
      <c r="G29" s="570"/>
      <c r="H29" s="570"/>
      <c r="I29" s="570"/>
      <c r="J29" s="570"/>
      <c r="K29" s="570"/>
      <c r="L29" s="570"/>
      <c r="M29" s="570"/>
      <c r="N29" s="570"/>
      <c r="O29" s="570"/>
      <c r="P29" s="570"/>
      <c r="Q29" s="570"/>
      <c r="R29" s="570"/>
      <c r="S29" s="570"/>
      <c r="T29" s="570"/>
      <c r="U29" s="570"/>
      <c r="V29" s="570"/>
      <c r="W29" s="570"/>
      <c r="X29" s="570"/>
      <c r="Y29" s="571"/>
      <c r="Z29" s="358"/>
      <c r="AA29" s="359"/>
      <c r="AB29" s="359"/>
      <c r="AC29" s="359"/>
      <c r="AD29" s="359"/>
      <c r="AE29" s="359"/>
      <c r="AF29" s="529"/>
      <c r="AG29" s="529"/>
      <c r="AH29" s="529"/>
      <c r="AI29" s="529"/>
      <c r="AJ29" s="529"/>
      <c r="AK29" s="529"/>
      <c r="AL29" s="529"/>
      <c r="AM29" s="529"/>
      <c r="AN29" s="529"/>
      <c r="AO29" s="529"/>
      <c r="AP29" s="529"/>
      <c r="AQ29" s="529"/>
      <c r="AR29" s="529"/>
      <c r="AS29" s="529"/>
      <c r="AT29" s="529"/>
      <c r="AU29" s="529"/>
      <c r="AV29" s="529"/>
      <c r="AW29" s="529"/>
      <c r="AX29" s="530"/>
    </row>
    <row r="30" spans="1:50" x14ac:dyDescent="0.25">
      <c r="A30" s="572"/>
      <c r="B30" s="573"/>
      <c r="C30" s="573"/>
      <c r="D30" s="573"/>
      <c r="E30" s="573"/>
      <c r="F30" s="573"/>
      <c r="G30" s="573"/>
      <c r="H30" s="573"/>
      <c r="I30" s="573"/>
      <c r="J30" s="573"/>
      <c r="K30" s="573"/>
      <c r="L30" s="573"/>
      <c r="M30" s="573"/>
      <c r="N30" s="573"/>
      <c r="O30" s="573"/>
      <c r="P30" s="573"/>
      <c r="Q30" s="573"/>
      <c r="R30" s="573"/>
      <c r="S30" s="573"/>
      <c r="T30" s="573"/>
      <c r="U30" s="573"/>
      <c r="V30" s="573"/>
      <c r="W30" s="573"/>
      <c r="X30" s="573"/>
      <c r="Y30" s="574"/>
      <c r="Z30" s="358"/>
      <c r="AA30" s="359"/>
      <c r="AB30" s="359"/>
      <c r="AC30" s="359"/>
      <c r="AD30" s="359"/>
      <c r="AE30" s="359"/>
      <c r="AF30" s="529"/>
      <c r="AG30" s="529"/>
      <c r="AH30" s="529"/>
      <c r="AI30" s="529"/>
      <c r="AJ30" s="529"/>
      <c r="AK30" s="529"/>
      <c r="AL30" s="529"/>
      <c r="AM30" s="529"/>
      <c r="AN30" s="529"/>
      <c r="AO30" s="529"/>
      <c r="AP30" s="529"/>
      <c r="AQ30" s="529"/>
      <c r="AR30" s="529"/>
      <c r="AS30" s="529"/>
      <c r="AT30" s="529"/>
      <c r="AU30" s="529"/>
      <c r="AV30" s="529"/>
      <c r="AW30" s="529"/>
      <c r="AX30" s="530"/>
    </row>
    <row r="31" spans="1:50" x14ac:dyDescent="0.25">
      <c r="A31" s="572"/>
      <c r="B31" s="573"/>
      <c r="C31" s="573"/>
      <c r="D31" s="573"/>
      <c r="E31" s="573"/>
      <c r="F31" s="573"/>
      <c r="G31" s="573"/>
      <c r="H31" s="573"/>
      <c r="I31" s="573"/>
      <c r="J31" s="573"/>
      <c r="K31" s="573"/>
      <c r="L31" s="573"/>
      <c r="M31" s="573"/>
      <c r="N31" s="573"/>
      <c r="O31" s="573"/>
      <c r="P31" s="573"/>
      <c r="Q31" s="573"/>
      <c r="R31" s="573"/>
      <c r="S31" s="573"/>
      <c r="T31" s="573"/>
      <c r="U31" s="573"/>
      <c r="V31" s="573"/>
      <c r="W31" s="573"/>
      <c r="X31" s="573"/>
      <c r="Y31" s="574"/>
      <c r="Z31" s="358"/>
      <c r="AA31" s="359"/>
      <c r="AB31" s="359"/>
      <c r="AC31" s="359"/>
      <c r="AD31" s="359"/>
      <c r="AE31" s="359"/>
      <c r="AF31" s="529"/>
      <c r="AG31" s="529"/>
      <c r="AH31" s="529"/>
      <c r="AI31" s="529"/>
      <c r="AJ31" s="529"/>
      <c r="AK31" s="529"/>
      <c r="AL31" s="529"/>
      <c r="AM31" s="529"/>
      <c r="AN31" s="529"/>
      <c r="AO31" s="529"/>
      <c r="AP31" s="529"/>
      <c r="AQ31" s="529"/>
      <c r="AR31" s="529"/>
      <c r="AS31" s="529"/>
      <c r="AT31" s="529"/>
      <c r="AU31" s="529"/>
      <c r="AV31" s="529"/>
      <c r="AW31" s="529"/>
      <c r="AX31" s="530"/>
    </row>
    <row r="32" spans="1:50" ht="15.75" thickBot="1" x14ac:dyDescent="0.3">
      <c r="A32" s="575"/>
      <c r="B32" s="576"/>
      <c r="C32" s="576"/>
      <c r="D32" s="576"/>
      <c r="E32" s="576"/>
      <c r="F32" s="576"/>
      <c r="G32" s="576"/>
      <c r="H32" s="576"/>
      <c r="I32" s="576"/>
      <c r="J32" s="576"/>
      <c r="K32" s="576"/>
      <c r="L32" s="576"/>
      <c r="M32" s="576"/>
      <c r="N32" s="576"/>
      <c r="O32" s="576"/>
      <c r="P32" s="576"/>
      <c r="Q32" s="576"/>
      <c r="R32" s="576"/>
      <c r="S32" s="576"/>
      <c r="T32" s="576"/>
      <c r="U32" s="576"/>
      <c r="V32" s="576"/>
      <c r="W32" s="576"/>
      <c r="X32" s="576"/>
      <c r="Y32" s="577"/>
      <c r="Z32" s="358"/>
      <c r="AA32" s="359"/>
      <c r="AB32" s="359"/>
      <c r="AC32" s="359"/>
      <c r="AD32" s="359"/>
      <c r="AE32" s="359"/>
      <c r="AF32" s="529"/>
      <c r="AG32" s="529"/>
      <c r="AH32" s="529"/>
      <c r="AI32" s="529"/>
      <c r="AJ32" s="529"/>
      <c r="AK32" s="529"/>
      <c r="AL32" s="529"/>
      <c r="AM32" s="529"/>
      <c r="AN32" s="529"/>
      <c r="AO32" s="529"/>
      <c r="AP32" s="529"/>
      <c r="AQ32" s="529"/>
      <c r="AR32" s="529"/>
      <c r="AS32" s="529"/>
      <c r="AT32" s="529"/>
      <c r="AU32" s="529"/>
      <c r="AV32" s="529"/>
      <c r="AW32" s="529"/>
      <c r="AX32" s="530"/>
    </row>
    <row r="33" spans="1:50" x14ac:dyDescent="0.25">
      <c r="A33" s="567" t="s">
        <v>0</v>
      </c>
      <c r="B33" s="568"/>
      <c r="C33" s="568"/>
      <c r="D33" s="361"/>
      <c r="E33" s="361"/>
      <c r="F33" s="361"/>
      <c r="G33" s="361"/>
      <c r="H33" s="361"/>
      <c r="I33" s="361"/>
      <c r="J33" s="361"/>
      <c r="K33" s="361"/>
      <c r="L33" s="361"/>
      <c r="M33" s="568" t="s">
        <v>75</v>
      </c>
      <c r="N33" s="568"/>
      <c r="O33" s="568"/>
      <c r="P33" s="361"/>
      <c r="Q33" s="361"/>
      <c r="R33" s="361"/>
      <c r="S33" s="361"/>
      <c r="T33" s="361"/>
      <c r="U33" s="361"/>
      <c r="V33" s="361"/>
      <c r="W33" s="361"/>
      <c r="X33" s="361"/>
      <c r="Y33" s="477"/>
      <c r="Z33" s="358"/>
      <c r="AA33" s="359"/>
      <c r="AB33" s="359"/>
      <c r="AC33" s="359"/>
      <c r="AD33" s="359"/>
      <c r="AE33" s="359"/>
      <c r="AF33" s="529"/>
      <c r="AG33" s="529"/>
      <c r="AH33" s="529"/>
      <c r="AI33" s="529"/>
      <c r="AJ33" s="529"/>
      <c r="AK33" s="529"/>
      <c r="AL33" s="529"/>
      <c r="AM33" s="529"/>
      <c r="AN33" s="529"/>
      <c r="AO33" s="529"/>
      <c r="AP33" s="529"/>
      <c r="AQ33" s="529"/>
      <c r="AR33" s="529"/>
      <c r="AS33" s="529"/>
      <c r="AT33" s="529"/>
      <c r="AU33" s="529"/>
      <c r="AV33" s="529"/>
      <c r="AW33" s="529"/>
      <c r="AX33" s="530"/>
    </row>
    <row r="34" spans="1:50" x14ac:dyDescent="0.25">
      <c r="A34" s="569"/>
      <c r="B34" s="570"/>
      <c r="C34" s="570"/>
      <c r="D34" s="570"/>
      <c r="E34" s="570"/>
      <c r="F34" s="570"/>
      <c r="G34" s="570"/>
      <c r="H34" s="570"/>
      <c r="I34" s="570"/>
      <c r="J34" s="570"/>
      <c r="K34" s="570"/>
      <c r="L34" s="570"/>
      <c r="M34" s="570"/>
      <c r="N34" s="570"/>
      <c r="O34" s="570"/>
      <c r="P34" s="570"/>
      <c r="Q34" s="570"/>
      <c r="R34" s="570"/>
      <c r="S34" s="570"/>
      <c r="T34" s="570"/>
      <c r="U34" s="570"/>
      <c r="V34" s="570"/>
      <c r="W34" s="570"/>
      <c r="X34" s="570"/>
      <c r="Y34" s="571"/>
      <c r="Z34" s="358"/>
      <c r="AA34" s="359"/>
      <c r="AB34" s="359"/>
      <c r="AC34" s="359"/>
      <c r="AD34" s="359"/>
      <c r="AE34" s="359"/>
      <c r="AF34" s="529"/>
      <c r="AG34" s="529"/>
      <c r="AH34" s="529"/>
      <c r="AI34" s="529"/>
      <c r="AJ34" s="529"/>
      <c r="AK34" s="529"/>
      <c r="AL34" s="529"/>
      <c r="AM34" s="529"/>
      <c r="AN34" s="529"/>
      <c r="AO34" s="529"/>
      <c r="AP34" s="529"/>
      <c r="AQ34" s="529"/>
      <c r="AR34" s="529"/>
      <c r="AS34" s="529"/>
      <c r="AT34" s="529"/>
      <c r="AU34" s="529"/>
      <c r="AV34" s="529"/>
      <c r="AW34" s="529"/>
      <c r="AX34" s="530"/>
    </row>
    <row r="35" spans="1:50" x14ac:dyDescent="0.25">
      <c r="A35" s="572"/>
      <c r="B35" s="573"/>
      <c r="C35" s="573"/>
      <c r="D35" s="573"/>
      <c r="E35" s="573"/>
      <c r="F35" s="573"/>
      <c r="G35" s="573"/>
      <c r="H35" s="573"/>
      <c r="I35" s="573"/>
      <c r="J35" s="573"/>
      <c r="K35" s="573"/>
      <c r="L35" s="573"/>
      <c r="M35" s="573"/>
      <c r="N35" s="573"/>
      <c r="O35" s="573"/>
      <c r="P35" s="573"/>
      <c r="Q35" s="573"/>
      <c r="R35" s="573"/>
      <c r="S35" s="573"/>
      <c r="T35" s="573"/>
      <c r="U35" s="573"/>
      <c r="V35" s="573"/>
      <c r="W35" s="573"/>
      <c r="X35" s="573"/>
      <c r="Y35" s="574"/>
      <c r="Z35" s="358"/>
      <c r="AA35" s="359"/>
      <c r="AB35" s="359"/>
      <c r="AC35" s="359"/>
      <c r="AD35" s="359"/>
      <c r="AE35" s="359"/>
      <c r="AF35" s="529"/>
      <c r="AG35" s="529"/>
      <c r="AH35" s="529"/>
      <c r="AI35" s="529"/>
      <c r="AJ35" s="529"/>
      <c r="AK35" s="529"/>
      <c r="AL35" s="529"/>
      <c r="AM35" s="529"/>
      <c r="AN35" s="529"/>
      <c r="AO35" s="529"/>
      <c r="AP35" s="529"/>
      <c r="AQ35" s="529"/>
      <c r="AR35" s="529"/>
      <c r="AS35" s="529"/>
      <c r="AT35" s="529"/>
      <c r="AU35" s="529"/>
      <c r="AV35" s="529"/>
      <c r="AW35" s="529"/>
      <c r="AX35" s="530"/>
    </row>
    <row r="36" spans="1:50" x14ac:dyDescent="0.25">
      <c r="A36" s="572"/>
      <c r="B36" s="573"/>
      <c r="C36" s="573"/>
      <c r="D36" s="573"/>
      <c r="E36" s="573"/>
      <c r="F36" s="573"/>
      <c r="G36" s="573"/>
      <c r="H36" s="573"/>
      <c r="I36" s="573"/>
      <c r="J36" s="573"/>
      <c r="K36" s="573"/>
      <c r="L36" s="573"/>
      <c r="M36" s="573"/>
      <c r="N36" s="573"/>
      <c r="O36" s="573"/>
      <c r="P36" s="573"/>
      <c r="Q36" s="573"/>
      <c r="R36" s="573"/>
      <c r="S36" s="573"/>
      <c r="T36" s="573"/>
      <c r="U36" s="573"/>
      <c r="V36" s="573"/>
      <c r="W36" s="573"/>
      <c r="X36" s="573"/>
      <c r="Y36" s="574"/>
      <c r="Z36" s="358"/>
      <c r="AA36" s="359"/>
      <c r="AB36" s="359"/>
      <c r="AC36" s="359"/>
      <c r="AD36" s="359"/>
      <c r="AE36" s="359"/>
      <c r="AF36" s="529"/>
      <c r="AG36" s="529"/>
      <c r="AH36" s="529"/>
      <c r="AI36" s="529"/>
      <c r="AJ36" s="529"/>
      <c r="AK36" s="529"/>
      <c r="AL36" s="529"/>
      <c r="AM36" s="529"/>
      <c r="AN36" s="529"/>
      <c r="AO36" s="529"/>
      <c r="AP36" s="529"/>
      <c r="AQ36" s="529"/>
      <c r="AR36" s="529"/>
      <c r="AS36" s="529"/>
      <c r="AT36" s="529"/>
      <c r="AU36" s="529"/>
      <c r="AV36" s="529"/>
      <c r="AW36" s="529"/>
      <c r="AX36" s="530"/>
    </row>
    <row r="37" spans="1:50" ht="15.75" thickBot="1" x14ac:dyDescent="0.3">
      <c r="A37" s="575"/>
      <c r="B37" s="576"/>
      <c r="C37" s="576"/>
      <c r="D37" s="576"/>
      <c r="E37" s="576"/>
      <c r="F37" s="576"/>
      <c r="G37" s="576"/>
      <c r="H37" s="576"/>
      <c r="I37" s="576"/>
      <c r="J37" s="576"/>
      <c r="K37" s="576"/>
      <c r="L37" s="576"/>
      <c r="M37" s="576"/>
      <c r="N37" s="576"/>
      <c r="O37" s="576"/>
      <c r="P37" s="576"/>
      <c r="Q37" s="576"/>
      <c r="R37" s="576"/>
      <c r="S37" s="576"/>
      <c r="T37" s="576"/>
      <c r="U37" s="576"/>
      <c r="V37" s="576"/>
      <c r="W37" s="576"/>
      <c r="X37" s="576"/>
      <c r="Y37" s="577"/>
      <c r="Z37" s="358"/>
      <c r="AA37" s="359"/>
      <c r="AB37" s="359"/>
      <c r="AC37" s="359"/>
      <c r="AD37" s="359"/>
      <c r="AE37" s="359"/>
      <c r="AF37" s="529"/>
      <c r="AG37" s="529"/>
      <c r="AH37" s="529"/>
      <c r="AI37" s="529"/>
      <c r="AJ37" s="529"/>
      <c r="AK37" s="529"/>
      <c r="AL37" s="529"/>
      <c r="AM37" s="529"/>
      <c r="AN37" s="529"/>
      <c r="AO37" s="529"/>
      <c r="AP37" s="529"/>
      <c r="AQ37" s="529"/>
      <c r="AR37" s="529"/>
      <c r="AS37" s="529"/>
      <c r="AT37" s="529"/>
      <c r="AU37" s="529"/>
      <c r="AV37" s="529"/>
      <c r="AW37" s="529"/>
      <c r="AX37" s="530"/>
    </row>
    <row r="38" spans="1:50" x14ac:dyDescent="0.25">
      <c r="A38" s="567" t="s">
        <v>0</v>
      </c>
      <c r="B38" s="568"/>
      <c r="C38" s="568"/>
      <c r="D38" s="361"/>
      <c r="E38" s="361"/>
      <c r="F38" s="361"/>
      <c r="G38" s="361"/>
      <c r="H38" s="361"/>
      <c r="I38" s="361"/>
      <c r="J38" s="361"/>
      <c r="K38" s="361"/>
      <c r="L38" s="361"/>
      <c r="M38" s="568" t="s">
        <v>75</v>
      </c>
      <c r="N38" s="568"/>
      <c r="O38" s="568"/>
      <c r="P38" s="361"/>
      <c r="Q38" s="361"/>
      <c r="R38" s="361"/>
      <c r="S38" s="361"/>
      <c r="T38" s="361"/>
      <c r="U38" s="361"/>
      <c r="V38" s="361"/>
      <c r="W38" s="361"/>
      <c r="X38" s="361"/>
      <c r="Y38" s="477"/>
      <c r="Z38" s="358"/>
      <c r="AA38" s="359"/>
      <c r="AB38" s="359"/>
      <c r="AC38" s="359"/>
      <c r="AD38" s="359"/>
      <c r="AE38" s="359"/>
      <c r="AF38" s="529"/>
      <c r="AG38" s="529"/>
      <c r="AH38" s="529"/>
      <c r="AI38" s="529"/>
      <c r="AJ38" s="529"/>
      <c r="AK38" s="529"/>
      <c r="AL38" s="529"/>
      <c r="AM38" s="529"/>
      <c r="AN38" s="529"/>
      <c r="AO38" s="529"/>
      <c r="AP38" s="529"/>
      <c r="AQ38" s="529"/>
      <c r="AR38" s="529"/>
      <c r="AS38" s="529"/>
      <c r="AT38" s="529"/>
      <c r="AU38" s="529"/>
      <c r="AV38" s="529"/>
      <c r="AW38" s="529"/>
      <c r="AX38" s="530"/>
    </row>
    <row r="39" spans="1:50" x14ac:dyDescent="0.25">
      <c r="A39" s="569"/>
      <c r="B39" s="570"/>
      <c r="C39" s="570"/>
      <c r="D39" s="570"/>
      <c r="E39" s="570"/>
      <c r="F39" s="570"/>
      <c r="G39" s="570"/>
      <c r="H39" s="570"/>
      <c r="I39" s="570"/>
      <c r="J39" s="570"/>
      <c r="K39" s="570"/>
      <c r="L39" s="570"/>
      <c r="M39" s="570"/>
      <c r="N39" s="570"/>
      <c r="O39" s="570"/>
      <c r="P39" s="570"/>
      <c r="Q39" s="570"/>
      <c r="R39" s="570"/>
      <c r="S39" s="570"/>
      <c r="T39" s="570"/>
      <c r="U39" s="570"/>
      <c r="V39" s="570"/>
      <c r="W39" s="570"/>
      <c r="X39" s="570"/>
      <c r="Y39" s="571"/>
      <c r="Z39" s="358"/>
      <c r="AA39" s="359"/>
      <c r="AB39" s="359"/>
      <c r="AC39" s="359"/>
      <c r="AD39" s="359"/>
      <c r="AE39" s="359"/>
      <c r="AF39" s="529"/>
      <c r="AG39" s="529"/>
      <c r="AH39" s="529"/>
      <c r="AI39" s="529"/>
      <c r="AJ39" s="529"/>
      <c r="AK39" s="529"/>
      <c r="AL39" s="529"/>
      <c r="AM39" s="529"/>
      <c r="AN39" s="529"/>
      <c r="AO39" s="529"/>
      <c r="AP39" s="529"/>
      <c r="AQ39" s="529"/>
      <c r="AR39" s="529"/>
      <c r="AS39" s="529"/>
      <c r="AT39" s="529"/>
      <c r="AU39" s="529"/>
      <c r="AV39" s="529"/>
      <c r="AW39" s="529"/>
      <c r="AX39" s="530"/>
    </row>
    <row r="40" spans="1:50" x14ac:dyDescent="0.25">
      <c r="A40" s="572"/>
      <c r="B40" s="573"/>
      <c r="C40" s="573"/>
      <c r="D40" s="573"/>
      <c r="E40" s="573"/>
      <c r="F40" s="573"/>
      <c r="G40" s="573"/>
      <c r="H40" s="573"/>
      <c r="I40" s="573"/>
      <c r="J40" s="573"/>
      <c r="K40" s="573"/>
      <c r="L40" s="573"/>
      <c r="M40" s="573"/>
      <c r="N40" s="573"/>
      <c r="O40" s="573"/>
      <c r="P40" s="573"/>
      <c r="Q40" s="573"/>
      <c r="R40" s="573"/>
      <c r="S40" s="573"/>
      <c r="T40" s="573"/>
      <c r="U40" s="573"/>
      <c r="V40" s="573"/>
      <c r="W40" s="573"/>
      <c r="X40" s="573"/>
      <c r="Y40" s="574"/>
      <c r="Z40" s="358"/>
      <c r="AA40" s="359"/>
      <c r="AB40" s="359"/>
      <c r="AC40" s="359"/>
      <c r="AD40" s="359"/>
      <c r="AE40" s="359"/>
      <c r="AF40" s="529"/>
      <c r="AG40" s="529"/>
      <c r="AH40" s="529"/>
      <c r="AI40" s="529"/>
      <c r="AJ40" s="529"/>
      <c r="AK40" s="529"/>
      <c r="AL40" s="529"/>
      <c r="AM40" s="529"/>
      <c r="AN40" s="529"/>
      <c r="AO40" s="529"/>
      <c r="AP40" s="529"/>
      <c r="AQ40" s="529"/>
      <c r="AR40" s="529"/>
      <c r="AS40" s="529"/>
      <c r="AT40" s="529"/>
      <c r="AU40" s="529"/>
      <c r="AV40" s="529"/>
      <c r="AW40" s="529"/>
      <c r="AX40" s="530"/>
    </row>
    <row r="41" spans="1:50" x14ac:dyDescent="0.25">
      <c r="A41" s="572"/>
      <c r="B41" s="573"/>
      <c r="C41" s="573"/>
      <c r="D41" s="573"/>
      <c r="E41" s="573"/>
      <c r="F41" s="573"/>
      <c r="G41" s="573"/>
      <c r="H41" s="573"/>
      <c r="I41" s="573"/>
      <c r="J41" s="573"/>
      <c r="K41" s="573"/>
      <c r="L41" s="573"/>
      <c r="M41" s="573"/>
      <c r="N41" s="573"/>
      <c r="O41" s="573"/>
      <c r="P41" s="573"/>
      <c r="Q41" s="573"/>
      <c r="R41" s="573"/>
      <c r="S41" s="573"/>
      <c r="T41" s="573"/>
      <c r="U41" s="573"/>
      <c r="V41" s="573"/>
      <c r="W41" s="573"/>
      <c r="X41" s="573"/>
      <c r="Y41" s="574"/>
      <c r="Z41" s="358"/>
      <c r="AA41" s="359"/>
      <c r="AB41" s="359"/>
      <c r="AC41" s="359"/>
      <c r="AD41" s="359"/>
      <c r="AE41" s="359"/>
      <c r="AF41" s="529"/>
      <c r="AG41" s="529"/>
      <c r="AH41" s="529"/>
      <c r="AI41" s="529"/>
      <c r="AJ41" s="529"/>
      <c r="AK41" s="529"/>
      <c r="AL41" s="529"/>
      <c r="AM41" s="529"/>
      <c r="AN41" s="529"/>
      <c r="AO41" s="529"/>
      <c r="AP41" s="529"/>
      <c r="AQ41" s="529"/>
      <c r="AR41" s="529"/>
      <c r="AS41" s="529"/>
      <c r="AT41" s="529"/>
      <c r="AU41" s="529"/>
      <c r="AV41" s="529"/>
      <c r="AW41" s="529"/>
      <c r="AX41" s="530"/>
    </row>
    <row r="42" spans="1:50" ht="15.75" thickBot="1" x14ac:dyDescent="0.3">
      <c r="A42" s="575"/>
      <c r="B42" s="576"/>
      <c r="C42" s="576"/>
      <c r="D42" s="576"/>
      <c r="E42" s="576"/>
      <c r="F42" s="576"/>
      <c r="G42" s="576"/>
      <c r="H42" s="576"/>
      <c r="I42" s="576"/>
      <c r="J42" s="576"/>
      <c r="K42" s="576"/>
      <c r="L42" s="576"/>
      <c r="M42" s="576"/>
      <c r="N42" s="576"/>
      <c r="O42" s="576"/>
      <c r="P42" s="576"/>
      <c r="Q42" s="576"/>
      <c r="R42" s="576"/>
      <c r="S42" s="576"/>
      <c r="T42" s="576"/>
      <c r="U42" s="576"/>
      <c r="V42" s="576"/>
      <c r="W42" s="576"/>
      <c r="X42" s="576"/>
      <c r="Y42" s="577"/>
      <c r="Z42" s="358"/>
      <c r="AA42" s="359"/>
      <c r="AB42" s="359"/>
      <c r="AC42" s="359"/>
      <c r="AD42" s="359"/>
      <c r="AE42" s="359"/>
      <c r="AF42" s="529"/>
      <c r="AG42" s="529"/>
      <c r="AH42" s="529"/>
      <c r="AI42" s="529"/>
      <c r="AJ42" s="529"/>
      <c r="AK42" s="529"/>
      <c r="AL42" s="529"/>
      <c r="AM42" s="529"/>
      <c r="AN42" s="529"/>
      <c r="AO42" s="529"/>
      <c r="AP42" s="529"/>
      <c r="AQ42" s="529"/>
      <c r="AR42" s="529"/>
      <c r="AS42" s="529"/>
      <c r="AT42" s="529"/>
      <c r="AU42" s="529"/>
      <c r="AV42" s="529"/>
      <c r="AW42" s="529"/>
      <c r="AX42" s="530"/>
    </row>
    <row r="43" spans="1:50" x14ac:dyDescent="0.25">
      <c r="A43" s="567" t="s">
        <v>0</v>
      </c>
      <c r="B43" s="568"/>
      <c r="C43" s="568"/>
      <c r="D43" s="361"/>
      <c r="E43" s="361"/>
      <c r="F43" s="361"/>
      <c r="G43" s="361"/>
      <c r="H43" s="361"/>
      <c r="I43" s="361"/>
      <c r="J43" s="361"/>
      <c r="K43" s="361"/>
      <c r="L43" s="361"/>
      <c r="M43" s="568" t="s">
        <v>75</v>
      </c>
      <c r="N43" s="568"/>
      <c r="O43" s="568"/>
      <c r="P43" s="361"/>
      <c r="Q43" s="361"/>
      <c r="R43" s="361"/>
      <c r="S43" s="361"/>
      <c r="T43" s="361"/>
      <c r="U43" s="361"/>
      <c r="V43" s="361"/>
      <c r="W43" s="361"/>
      <c r="X43" s="361"/>
      <c r="Y43" s="477"/>
      <c r="Z43" s="358"/>
      <c r="AA43" s="359"/>
      <c r="AB43" s="359"/>
      <c r="AC43" s="359"/>
      <c r="AD43" s="359"/>
      <c r="AE43" s="359"/>
      <c r="AF43" s="529"/>
      <c r="AG43" s="529"/>
      <c r="AH43" s="529"/>
      <c r="AI43" s="529"/>
      <c r="AJ43" s="529"/>
      <c r="AK43" s="529"/>
      <c r="AL43" s="529"/>
      <c r="AM43" s="529"/>
      <c r="AN43" s="529"/>
      <c r="AO43" s="529"/>
      <c r="AP43" s="529"/>
      <c r="AQ43" s="529"/>
      <c r="AR43" s="529"/>
      <c r="AS43" s="529"/>
      <c r="AT43" s="529"/>
      <c r="AU43" s="529"/>
      <c r="AV43" s="529"/>
      <c r="AW43" s="529"/>
      <c r="AX43" s="530"/>
    </row>
    <row r="44" spans="1:50" x14ac:dyDescent="0.25">
      <c r="A44" s="569"/>
      <c r="B44" s="570"/>
      <c r="C44" s="570"/>
      <c r="D44" s="570"/>
      <c r="E44" s="570"/>
      <c r="F44" s="570"/>
      <c r="G44" s="570"/>
      <c r="H44" s="570"/>
      <c r="I44" s="570"/>
      <c r="J44" s="570"/>
      <c r="K44" s="570"/>
      <c r="L44" s="570"/>
      <c r="M44" s="570"/>
      <c r="N44" s="570"/>
      <c r="O44" s="570"/>
      <c r="P44" s="570"/>
      <c r="Q44" s="570"/>
      <c r="R44" s="570"/>
      <c r="S44" s="570"/>
      <c r="T44" s="570"/>
      <c r="U44" s="570"/>
      <c r="V44" s="570"/>
      <c r="W44" s="570"/>
      <c r="X44" s="570"/>
      <c r="Y44" s="571"/>
      <c r="Z44" s="358"/>
      <c r="AA44" s="359"/>
      <c r="AB44" s="359"/>
      <c r="AC44" s="359"/>
      <c r="AD44" s="359"/>
      <c r="AE44" s="359"/>
      <c r="AF44" s="529"/>
      <c r="AG44" s="529"/>
      <c r="AH44" s="529"/>
      <c r="AI44" s="529"/>
      <c r="AJ44" s="529"/>
      <c r="AK44" s="529"/>
      <c r="AL44" s="529"/>
      <c r="AM44" s="529"/>
      <c r="AN44" s="529"/>
      <c r="AO44" s="529"/>
      <c r="AP44" s="529"/>
      <c r="AQ44" s="529"/>
      <c r="AR44" s="529"/>
      <c r="AS44" s="529"/>
      <c r="AT44" s="529"/>
      <c r="AU44" s="529"/>
      <c r="AV44" s="529"/>
      <c r="AW44" s="529"/>
      <c r="AX44" s="530"/>
    </row>
    <row r="45" spans="1:50" x14ac:dyDescent="0.25">
      <c r="A45" s="572"/>
      <c r="B45" s="573"/>
      <c r="C45" s="573"/>
      <c r="D45" s="573"/>
      <c r="E45" s="573"/>
      <c r="F45" s="573"/>
      <c r="G45" s="573"/>
      <c r="H45" s="573"/>
      <c r="I45" s="573"/>
      <c r="J45" s="573"/>
      <c r="K45" s="573"/>
      <c r="L45" s="573"/>
      <c r="M45" s="573"/>
      <c r="N45" s="573"/>
      <c r="O45" s="573"/>
      <c r="P45" s="573"/>
      <c r="Q45" s="573"/>
      <c r="R45" s="573"/>
      <c r="S45" s="573"/>
      <c r="T45" s="573"/>
      <c r="U45" s="573"/>
      <c r="V45" s="573"/>
      <c r="W45" s="573"/>
      <c r="X45" s="573"/>
      <c r="Y45" s="574"/>
      <c r="Z45" s="358"/>
      <c r="AA45" s="359"/>
      <c r="AB45" s="359"/>
      <c r="AC45" s="359"/>
      <c r="AD45" s="359"/>
      <c r="AE45" s="359"/>
      <c r="AF45" s="529"/>
      <c r="AG45" s="529"/>
      <c r="AH45" s="529"/>
      <c r="AI45" s="529"/>
      <c r="AJ45" s="529"/>
      <c r="AK45" s="529"/>
      <c r="AL45" s="529"/>
      <c r="AM45" s="529"/>
      <c r="AN45" s="529"/>
      <c r="AO45" s="529"/>
      <c r="AP45" s="529"/>
      <c r="AQ45" s="529"/>
      <c r="AR45" s="529"/>
      <c r="AS45" s="529"/>
      <c r="AT45" s="529"/>
      <c r="AU45" s="529"/>
      <c r="AV45" s="529"/>
      <c r="AW45" s="529"/>
      <c r="AX45" s="530"/>
    </row>
    <row r="46" spans="1:50" x14ac:dyDescent="0.25">
      <c r="A46" s="572"/>
      <c r="B46" s="573"/>
      <c r="C46" s="573"/>
      <c r="D46" s="573"/>
      <c r="E46" s="573"/>
      <c r="F46" s="573"/>
      <c r="G46" s="573"/>
      <c r="H46" s="573"/>
      <c r="I46" s="573"/>
      <c r="J46" s="573"/>
      <c r="K46" s="573"/>
      <c r="L46" s="573"/>
      <c r="M46" s="573"/>
      <c r="N46" s="573"/>
      <c r="O46" s="573"/>
      <c r="P46" s="573"/>
      <c r="Q46" s="573"/>
      <c r="R46" s="573"/>
      <c r="S46" s="573"/>
      <c r="T46" s="573"/>
      <c r="U46" s="573"/>
      <c r="V46" s="573"/>
      <c r="W46" s="573"/>
      <c r="X46" s="573"/>
      <c r="Y46" s="574"/>
      <c r="Z46" s="358"/>
      <c r="AA46" s="359"/>
      <c r="AB46" s="359"/>
      <c r="AC46" s="359"/>
      <c r="AD46" s="359"/>
      <c r="AE46" s="359"/>
      <c r="AF46" s="529"/>
      <c r="AG46" s="529"/>
      <c r="AH46" s="529"/>
      <c r="AI46" s="529"/>
      <c r="AJ46" s="529"/>
      <c r="AK46" s="529"/>
      <c r="AL46" s="529"/>
      <c r="AM46" s="529"/>
      <c r="AN46" s="529"/>
      <c r="AO46" s="529"/>
      <c r="AP46" s="529"/>
      <c r="AQ46" s="529"/>
      <c r="AR46" s="529"/>
      <c r="AS46" s="529"/>
      <c r="AT46" s="529"/>
      <c r="AU46" s="529"/>
      <c r="AV46" s="529"/>
      <c r="AW46" s="529"/>
      <c r="AX46" s="530"/>
    </row>
    <row r="47" spans="1:50" ht="15.75" thickBot="1" x14ac:dyDescent="0.3">
      <c r="A47" s="575"/>
      <c r="B47" s="576"/>
      <c r="C47" s="576"/>
      <c r="D47" s="576"/>
      <c r="E47" s="576"/>
      <c r="F47" s="576"/>
      <c r="G47" s="576"/>
      <c r="H47" s="576"/>
      <c r="I47" s="576"/>
      <c r="J47" s="576"/>
      <c r="K47" s="576"/>
      <c r="L47" s="576"/>
      <c r="M47" s="576"/>
      <c r="N47" s="576"/>
      <c r="O47" s="576"/>
      <c r="P47" s="576"/>
      <c r="Q47" s="576"/>
      <c r="R47" s="576"/>
      <c r="S47" s="576"/>
      <c r="T47" s="576"/>
      <c r="U47" s="576"/>
      <c r="V47" s="576"/>
      <c r="W47" s="576"/>
      <c r="X47" s="576"/>
      <c r="Y47" s="577"/>
      <c r="Z47" s="358"/>
      <c r="AA47" s="359"/>
      <c r="AB47" s="359"/>
      <c r="AC47" s="359"/>
      <c r="AD47" s="359"/>
      <c r="AE47" s="359"/>
      <c r="AF47" s="529"/>
      <c r="AG47" s="529"/>
      <c r="AH47" s="529"/>
      <c r="AI47" s="529"/>
      <c r="AJ47" s="529"/>
      <c r="AK47" s="529"/>
      <c r="AL47" s="529"/>
      <c r="AM47" s="529"/>
      <c r="AN47" s="529"/>
      <c r="AO47" s="529"/>
      <c r="AP47" s="529"/>
      <c r="AQ47" s="529"/>
      <c r="AR47" s="529"/>
      <c r="AS47" s="529"/>
      <c r="AT47" s="529"/>
      <c r="AU47" s="529"/>
      <c r="AV47" s="529"/>
      <c r="AW47" s="529"/>
      <c r="AX47" s="530"/>
    </row>
  </sheetData>
  <sheetProtection password="E9C2" sheet="1" objects="1" scenarios="1" selectLockedCells="1"/>
  <mergeCells count="116">
    <mergeCell ref="Z1:AX2"/>
    <mergeCell ref="AH3:AX3"/>
    <mergeCell ref="AH4:AX5"/>
    <mergeCell ref="AH6:AX7"/>
    <mergeCell ref="AH8:AX9"/>
    <mergeCell ref="AH10:AX11"/>
    <mergeCell ref="AH12:AX13"/>
    <mergeCell ref="AH14:AX15"/>
    <mergeCell ref="AH16:AX17"/>
    <mergeCell ref="AF3:AG3"/>
    <mergeCell ref="Z3:AE3"/>
    <mergeCell ref="AF14:AG15"/>
    <mergeCell ref="Z4:AE5"/>
    <mergeCell ref="AF4:AG5"/>
    <mergeCell ref="Z6:AE7"/>
    <mergeCell ref="AF6:AG7"/>
    <mergeCell ref="Z16:AE17"/>
    <mergeCell ref="AF16:AG17"/>
    <mergeCell ref="Z8:AE9"/>
    <mergeCell ref="AF8:AG9"/>
    <mergeCell ref="Z34:AE35"/>
    <mergeCell ref="AF32:AG33"/>
    <mergeCell ref="Z10:AE11"/>
    <mergeCell ref="AF10:AG11"/>
    <mergeCell ref="Z12:AE13"/>
    <mergeCell ref="AF12:AG13"/>
    <mergeCell ref="Z14:AE15"/>
    <mergeCell ref="AH34:AX35"/>
    <mergeCell ref="AF34:AG35"/>
    <mergeCell ref="A29:Y32"/>
    <mergeCell ref="A33:C33"/>
    <mergeCell ref="D33:L33"/>
    <mergeCell ref="M33:O33"/>
    <mergeCell ref="AH18:AX19"/>
    <mergeCell ref="AH20:AX21"/>
    <mergeCell ref="AH22:AX23"/>
    <mergeCell ref="AH24:AX25"/>
    <mergeCell ref="AH26:AX27"/>
    <mergeCell ref="AF20:AG21"/>
    <mergeCell ref="AH28:AX29"/>
    <mergeCell ref="A14:Y17"/>
    <mergeCell ref="A18:C18"/>
    <mergeCell ref="D18:L18"/>
    <mergeCell ref="M18:O18"/>
    <mergeCell ref="P18:Y18"/>
    <mergeCell ref="Z18:AE19"/>
    <mergeCell ref="AF18:AG19"/>
    <mergeCell ref="Z20:AE21"/>
    <mergeCell ref="Z44:AE45"/>
    <mergeCell ref="AF44:AG45"/>
    <mergeCell ref="A28:C28"/>
    <mergeCell ref="D28:L28"/>
    <mergeCell ref="M28:O28"/>
    <mergeCell ref="P28:Y28"/>
    <mergeCell ref="Z22:AE23"/>
    <mergeCell ref="AF22:AG23"/>
    <mergeCell ref="Z24:AE25"/>
    <mergeCell ref="AF24:AG25"/>
    <mergeCell ref="Z26:AE27"/>
    <mergeCell ref="AF26:AG27"/>
    <mergeCell ref="P33:Y33"/>
    <mergeCell ref="A34:Y37"/>
    <mergeCell ref="A38:C38"/>
    <mergeCell ref="D38:L38"/>
    <mergeCell ref="Z46:AE47"/>
    <mergeCell ref="AF46:AG47"/>
    <mergeCell ref="AH36:AX37"/>
    <mergeCell ref="AH38:AX39"/>
    <mergeCell ref="AH40:AX41"/>
    <mergeCell ref="D43:L43"/>
    <mergeCell ref="M43:O43"/>
    <mergeCell ref="P43:Y43"/>
    <mergeCell ref="Z36:AE37"/>
    <mergeCell ref="AF36:AG37"/>
    <mergeCell ref="Z38:AE39"/>
    <mergeCell ref="AH46:AX47"/>
    <mergeCell ref="P38:Y38"/>
    <mergeCell ref="A39:Y42"/>
    <mergeCell ref="A43:C43"/>
    <mergeCell ref="AF40:AG41"/>
    <mergeCell ref="Z42:AE43"/>
    <mergeCell ref="AF42:AG43"/>
    <mergeCell ref="M38:O38"/>
    <mergeCell ref="A1:Y2"/>
    <mergeCell ref="A3:C3"/>
    <mergeCell ref="M3:O3"/>
    <mergeCell ref="D3:L3"/>
    <mergeCell ref="P3:Y3"/>
    <mergeCell ref="A4:Y7"/>
    <mergeCell ref="AH42:AX43"/>
    <mergeCell ref="AH44:AX45"/>
    <mergeCell ref="AH30:AX31"/>
    <mergeCell ref="AH32:AX33"/>
    <mergeCell ref="A19:Y22"/>
    <mergeCell ref="A23:C23"/>
    <mergeCell ref="D23:L23"/>
    <mergeCell ref="M23:O23"/>
    <mergeCell ref="P23:Y23"/>
    <mergeCell ref="A24:Y27"/>
    <mergeCell ref="A44:Y47"/>
    <mergeCell ref="Z28:AE29"/>
    <mergeCell ref="AF28:AG29"/>
    <mergeCell ref="Z30:AE31"/>
    <mergeCell ref="AF30:AG31"/>
    <mergeCell ref="Z32:AE33"/>
    <mergeCell ref="AF38:AG39"/>
    <mergeCell ref="Z40:AE41"/>
    <mergeCell ref="A8:C8"/>
    <mergeCell ref="D8:L8"/>
    <mergeCell ref="M8:O8"/>
    <mergeCell ref="P8:Y8"/>
    <mergeCell ref="A9:Y12"/>
    <mergeCell ref="A13:C13"/>
    <mergeCell ref="D13:L13"/>
    <mergeCell ref="M13:O13"/>
    <mergeCell ref="P13:Y13"/>
  </mergeCells>
  <pageMargins left="0.7" right="0.7" top="0.75" bottom="0.75" header="0.3" footer="0.3"/>
  <pageSetup scale="92" orientation="portrait" horizontalDpi="0" verticalDpi="0" r:id="rId1"/>
  <rowBreaks count="1" manualBreakCount="1">
    <brk id="47" max="16383" man="1"/>
  </rowBreaks>
  <colBreaks count="1" manualBreakCount="1">
    <brk id="25"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sheetPr>
  <dimension ref="A1:BT46"/>
  <sheetViews>
    <sheetView view="pageBreakPreview" zoomScale="75" zoomScaleNormal="100" zoomScaleSheetLayoutView="75" workbookViewId="0">
      <selection activeCell="E13" sqref="E13:N13"/>
    </sheetView>
  </sheetViews>
  <sheetFormatPr defaultRowHeight="15" x14ac:dyDescent="0.25"/>
  <cols>
    <col min="1" max="72" width="3.7109375" style="28" customWidth="1"/>
    <col min="73" max="16384" width="9.140625" style="28"/>
  </cols>
  <sheetData>
    <row r="1" spans="1:72" ht="15" customHeight="1" x14ac:dyDescent="0.25">
      <c r="A1" s="392" t="s">
        <v>6</v>
      </c>
      <c r="B1" s="391"/>
      <c r="C1" s="391"/>
      <c r="D1" s="391"/>
      <c r="E1" s="417" t="s">
        <v>141</v>
      </c>
      <c r="F1" s="417"/>
      <c r="G1" s="417"/>
      <c r="H1" s="417"/>
      <c r="I1" s="601" t="s">
        <v>7</v>
      </c>
      <c r="J1" s="602"/>
      <c r="K1" s="602"/>
      <c r="L1" s="603"/>
      <c r="M1" s="391" t="str">
        <f>IF(OR(M17="Select",M19="Select"),"Select Your God",IF(S13="select","Select Your Nature",IF(E13="","Select Your Calling",IF(OR(E22="Select",E28="Select",E34="Select",E22=E28,E28=E34,E34=E22),"Prioritize Your Attribute Groups",IF(AND(E22="Primary",E23&gt;0),"Select Physical Attributes",IF(AND(E28="primary",E29&gt;0),"Select Social Attributes",IF(AND(E34="Primary",E35&gt;0),"Select Mental Attributes",IF(AND(E22="Secondary",E23&gt;0),"Select Physical Attributes",IF(AND(E28="Secondary",E29&gt;0),"Select Social Attributes",IF(AND(E34="Secondary",E35&gt;0),"Select Mental Attributes",IF(AND(E22="Tertiary",E23&gt;0),"Select Physical Attributes",IF(AND(E28="Tertiary",E29&gt;0),"Select Social Attributes",IF(AND(E34="Tertiary",E35&gt;0),"Select Mental Attributes",IF(OR(AC36="No",U35="No"),"Select Abilities",IF(BO17="no","Select Advantages",IF(BM42="no","Select Your Birthrights",IF(U24="No","Select Virtues",IF(O22&lt;5,"Record Willpower",IF(M46="No","Spend Bonus Points","You're Done!")))))))))))))))))))</f>
        <v>Select Your God</v>
      </c>
      <c r="N1" s="391"/>
      <c r="O1" s="391"/>
      <c r="P1" s="391"/>
      <c r="Q1" s="391"/>
      <c r="R1" s="391"/>
      <c r="S1" s="391"/>
      <c r="T1" s="391"/>
      <c r="U1" s="391"/>
      <c r="V1" s="391"/>
      <c r="W1" s="391"/>
      <c r="X1" s="473"/>
      <c r="Y1" s="436" t="s">
        <v>69</v>
      </c>
      <c r="Z1" s="437"/>
      <c r="AA1" s="437"/>
      <c r="AB1" s="437"/>
      <c r="AC1" s="437"/>
      <c r="AD1" s="437"/>
      <c r="AE1" s="437"/>
      <c r="AF1" s="437"/>
      <c r="AG1" s="437"/>
      <c r="AH1" s="437"/>
      <c r="AI1" s="437"/>
      <c r="AJ1" s="437"/>
      <c r="AK1" s="437"/>
      <c r="AL1" s="437"/>
      <c r="AM1" s="438"/>
      <c r="AN1" s="436" t="s">
        <v>60</v>
      </c>
      <c r="AO1" s="437"/>
      <c r="AP1" s="437"/>
      <c r="AQ1" s="437"/>
      <c r="AR1" s="437"/>
      <c r="AS1" s="437"/>
      <c r="AT1" s="437"/>
      <c r="AU1" s="437"/>
      <c r="AV1" s="437"/>
      <c r="AW1" s="436" t="s">
        <v>68</v>
      </c>
      <c r="AX1" s="437"/>
      <c r="AY1" s="437"/>
      <c r="AZ1" s="437"/>
      <c r="BA1" s="437"/>
      <c r="BB1" s="437"/>
      <c r="BC1" s="437"/>
      <c r="BD1" s="437"/>
      <c r="BE1" s="437"/>
      <c r="BF1" s="437"/>
      <c r="BG1" s="437"/>
      <c r="BH1" s="438"/>
      <c r="BI1" s="436" t="s">
        <v>67</v>
      </c>
      <c r="BJ1" s="437"/>
      <c r="BK1" s="437"/>
      <c r="BL1" s="437"/>
      <c r="BM1" s="437"/>
      <c r="BN1" s="437"/>
      <c r="BO1" s="437"/>
      <c r="BP1" s="437"/>
      <c r="BQ1" s="437"/>
      <c r="BR1" s="437"/>
      <c r="BS1" s="437"/>
      <c r="BT1" s="438"/>
    </row>
    <row r="2" spans="1:72" ht="15.75" customHeight="1" thickBot="1" x14ac:dyDescent="0.3">
      <c r="A2" s="396"/>
      <c r="B2" s="395"/>
      <c r="C2" s="395"/>
      <c r="D2" s="395"/>
      <c r="E2" s="434"/>
      <c r="F2" s="434"/>
      <c r="G2" s="434"/>
      <c r="H2" s="434"/>
      <c r="I2" s="604"/>
      <c r="J2" s="599"/>
      <c r="K2" s="599"/>
      <c r="L2" s="605"/>
      <c r="M2" s="395"/>
      <c r="N2" s="395"/>
      <c r="O2" s="395"/>
      <c r="P2" s="395"/>
      <c r="Q2" s="395"/>
      <c r="R2" s="395"/>
      <c r="S2" s="395"/>
      <c r="T2" s="395"/>
      <c r="U2" s="395"/>
      <c r="V2" s="395"/>
      <c r="W2" s="395"/>
      <c r="X2" s="606"/>
      <c r="Y2" s="439"/>
      <c r="Z2" s="440"/>
      <c r="AA2" s="440"/>
      <c r="AB2" s="440"/>
      <c r="AC2" s="440"/>
      <c r="AD2" s="440"/>
      <c r="AE2" s="440"/>
      <c r="AF2" s="440"/>
      <c r="AG2" s="440"/>
      <c r="AH2" s="440"/>
      <c r="AI2" s="440"/>
      <c r="AJ2" s="440"/>
      <c r="AK2" s="440"/>
      <c r="AL2" s="440"/>
      <c r="AM2" s="441"/>
      <c r="AN2" s="439"/>
      <c r="AO2" s="440"/>
      <c r="AP2" s="440"/>
      <c r="AQ2" s="440"/>
      <c r="AR2" s="440"/>
      <c r="AS2" s="440"/>
      <c r="AT2" s="440"/>
      <c r="AU2" s="440"/>
      <c r="AV2" s="440"/>
      <c r="AW2" s="439"/>
      <c r="AX2" s="440"/>
      <c r="AY2" s="440"/>
      <c r="AZ2" s="440"/>
      <c r="BA2" s="440"/>
      <c r="BB2" s="440"/>
      <c r="BC2" s="440"/>
      <c r="BD2" s="440"/>
      <c r="BE2" s="440"/>
      <c r="BF2" s="440"/>
      <c r="BG2" s="440"/>
      <c r="BH2" s="441"/>
      <c r="BI2" s="439"/>
      <c r="BJ2" s="440"/>
      <c r="BK2" s="440"/>
      <c r="BL2" s="440"/>
      <c r="BM2" s="440"/>
      <c r="BN2" s="440"/>
      <c r="BO2" s="440"/>
      <c r="BP2" s="440"/>
      <c r="BQ2" s="440"/>
      <c r="BR2" s="440"/>
      <c r="BS2" s="440"/>
      <c r="BT2" s="441"/>
    </row>
    <row r="3" spans="1:72" x14ac:dyDescent="0.25">
      <c r="A3" s="293" t="str">
        <f>IF(M1=Reference!A26,Reference!H14,IF(M1=Reference!A28,Reference!H16,IF(M1=Reference!A29,Reference!H17,IF(M1=Reference!A30,Reference!H18,IF(M1=Reference!A31,Reference!H19,IF(M1=Reference!A32,Reference!H20,IF(M1=Reference!A33,Reference!H21,IF(M1=Reference!A34,Reference!H22,IF(M1=Reference!A35,Reference!H23,IF(M1=Reference!A36,Reference!H24,IF(M1=Reference!A37,Reference!H25,IF(M1=Reference!A38,Reference!H26,IF(M1=Reference!A39,Reference!H27,IF(M1=Reference!A40,Reference!H28))))))))))))))</f>
        <v>Choose your Pantheon and God carefully. Your pantheon dictates which virtues your character must live by and your parent god determines which abilities you learn more quickly and easily than others – both mundane and divine.</v>
      </c>
      <c r="B3" s="294"/>
      <c r="C3" s="294"/>
      <c r="D3" s="294"/>
      <c r="E3" s="294"/>
      <c r="F3" s="294"/>
      <c r="G3" s="294"/>
      <c r="H3" s="294"/>
      <c r="I3" s="294"/>
      <c r="J3" s="294"/>
      <c r="K3" s="294"/>
      <c r="L3" s="294"/>
      <c r="M3" s="294"/>
      <c r="N3" s="294"/>
      <c r="O3" s="294"/>
      <c r="P3" s="294"/>
      <c r="Q3" s="294"/>
      <c r="R3" s="294"/>
      <c r="S3" s="294"/>
      <c r="T3" s="294"/>
      <c r="U3" s="294"/>
      <c r="V3" s="294"/>
      <c r="W3" s="294"/>
      <c r="X3" s="295"/>
      <c r="Y3" s="494"/>
      <c r="Z3" s="403"/>
      <c r="AA3" s="403"/>
      <c r="AB3" s="403"/>
      <c r="AC3" s="407" t="s">
        <v>10</v>
      </c>
      <c r="AD3" s="407"/>
      <c r="AE3" s="407"/>
      <c r="AF3" s="407" t="s">
        <v>11</v>
      </c>
      <c r="AG3" s="407"/>
      <c r="AH3" s="407" t="s">
        <v>33</v>
      </c>
      <c r="AI3" s="407"/>
      <c r="AJ3" s="407" t="s">
        <v>34</v>
      </c>
      <c r="AK3" s="407"/>
      <c r="AL3" s="407"/>
      <c r="AM3" s="594"/>
      <c r="AN3" s="659" t="s">
        <v>61</v>
      </c>
      <c r="AO3" s="660"/>
      <c r="AP3" s="660"/>
      <c r="AQ3" s="660"/>
      <c r="AR3" s="660"/>
      <c r="AS3" s="660"/>
      <c r="AT3" s="661"/>
      <c r="AU3" s="493">
        <v>2</v>
      </c>
      <c r="AV3" s="615"/>
      <c r="AW3" s="406" t="s">
        <v>70</v>
      </c>
      <c r="AX3" s="407"/>
      <c r="AY3" s="407"/>
      <c r="AZ3" s="407"/>
      <c r="BA3" s="407"/>
      <c r="BB3" s="407"/>
      <c r="BC3" s="407" t="s">
        <v>71</v>
      </c>
      <c r="BD3" s="407"/>
      <c r="BE3" s="407" t="s">
        <v>72</v>
      </c>
      <c r="BF3" s="407"/>
      <c r="BG3" s="407" t="s">
        <v>11</v>
      </c>
      <c r="BH3" s="594"/>
      <c r="BI3" s="324"/>
      <c r="BJ3" s="324"/>
      <c r="BK3" s="324"/>
      <c r="BL3" s="633"/>
      <c r="BM3" s="626" t="s">
        <v>65</v>
      </c>
      <c r="BN3" s="626"/>
      <c r="BO3" s="626" t="s">
        <v>66</v>
      </c>
      <c r="BP3" s="626"/>
      <c r="BQ3" s="626" t="s">
        <v>11</v>
      </c>
      <c r="BR3" s="626"/>
      <c r="BS3" s="626" t="s">
        <v>33</v>
      </c>
      <c r="BT3" s="627"/>
    </row>
    <row r="4" spans="1:72" ht="15.75" thickBot="1" x14ac:dyDescent="0.3">
      <c r="A4" s="296"/>
      <c r="B4" s="297"/>
      <c r="C4" s="297"/>
      <c r="D4" s="297"/>
      <c r="E4" s="297"/>
      <c r="F4" s="297"/>
      <c r="G4" s="297"/>
      <c r="H4" s="297"/>
      <c r="I4" s="297"/>
      <c r="J4" s="297"/>
      <c r="K4" s="297"/>
      <c r="L4" s="297"/>
      <c r="M4" s="297"/>
      <c r="N4" s="297"/>
      <c r="O4" s="297"/>
      <c r="P4" s="297"/>
      <c r="Q4" s="297"/>
      <c r="R4" s="297"/>
      <c r="S4" s="297"/>
      <c r="T4" s="297"/>
      <c r="U4" s="297"/>
      <c r="V4" s="297"/>
      <c r="W4" s="297"/>
      <c r="X4" s="298"/>
      <c r="Y4" s="406" t="s">
        <v>35</v>
      </c>
      <c r="Z4" s="407"/>
      <c r="AA4" s="407"/>
      <c r="AB4" s="407"/>
      <c r="AC4" s="359"/>
      <c r="AD4" s="359"/>
      <c r="AE4" s="359"/>
      <c r="AF4" s="359"/>
      <c r="AG4" s="359"/>
      <c r="AH4" s="403">
        <f t="shared" ref="AH4:AH33" si="0">IF(OR(Y4=Q$28,Y4=Q$29,Y4=Q$30,Y4=Q$31,Y4=Q$32,Y4=Q$33),AF4,AF4*2)</f>
        <v>0</v>
      </c>
      <c r="AI4" s="403"/>
      <c r="AJ4" s="613"/>
      <c r="AK4" s="613"/>
      <c r="AL4" s="613"/>
      <c r="AM4" s="614"/>
      <c r="AN4" s="662" t="s">
        <v>80</v>
      </c>
      <c r="AO4" s="663"/>
      <c r="AP4" s="663"/>
      <c r="AQ4" s="663"/>
      <c r="AR4" s="663"/>
      <c r="AS4" s="663"/>
      <c r="AT4" s="664"/>
      <c r="AU4" s="616"/>
      <c r="AV4" s="617"/>
      <c r="AW4" s="629"/>
      <c r="AX4" s="630"/>
      <c r="AY4" s="630"/>
      <c r="AZ4" s="630"/>
      <c r="BA4" s="630"/>
      <c r="BB4" s="631"/>
      <c r="BC4" s="232"/>
      <c r="BD4" s="137">
        <f>IF(BG4="No",BC4,0)</f>
        <v>0</v>
      </c>
      <c r="BE4" s="403" t="str">
        <f>IF(AW4="","",HLOOKUP(AW4,AssociatedRef!$AP$1:$BZ$123,LOOKUP($M$19,AssociatedRef!$AP$2:$AP$123,AssociatedRef!$AQ$2:$AQ$123),FALSE))</f>
        <v/>
      </c>
      <c r="BF4" s="403"/>
      <c r="BG4" s="24" t="s">
        <v>361</v>
      </c>
      <c r="BH4" s="23" t="str">
        <f>IF(BG4="Yes",IF(BE4="Yes",4,5),"")</f>
        <v/>
      </c>
      <c r="BI4" s="609" t="s">
        <v>30</v>
      </c>
      <c r="BJ4" s="407"/>
      <c r="BK4" s="407"/>
      <c r="BL4" s="407"/>
      <c r="BM4" s="403">
        <f>SUM(E19:L19)</f>
        <v>1</v>
      </c>
      <c r="BN4" s="403"/>
      <c r="BO4" s="359"/>
      <c r="BP4" s="359"/>
      <c r="BQ4" s="359"/>
      <c r="BR4" s="359"/>
      <c r="BS4" s="403">
        <f>IF(LOOKUP($M$19,AssociatedRef!$A$2:$A$123,AssociatedRef!$B$2:$B$123)="Yes",BQ4*4,BQ4*5)</f>
        <v>0</v>
      </c>
      <c r="BT4" s="615"/>
    </row>
    <row r="5" spans="1:72" x14ac:dyDescent="0.25">
      <c r="A5" s="296"/>
      <c r="B5" s="297"/>
      <c r="C5" s="297"/>
      <c r="D5" s="297"/>
      <c r="E5" s="297"/>
      <c r="F5" s="297"/>
      <c r="G5" s="297"/>
      <c r="H5" s="297"/>
      <c r="I5" s="297"/>
      <c r="J5" s="297"/>
      <c r="K5" s="297"/>
      <c r="L5" s="297"/>
      <c r="M5" s="297"/>
      <c r="N5" s="297"/>
      <c r="O5" s="297"/>
      <c r="P5" s="297"/>
      <c r="Q5" s="297"/>
      <c r="R5" s="297"/>
      <c r="S5" s="297"/>
      <c r="T5" s="297"/>
      <c r="U5" s="297"/>
      <c r="V5" s="297"/>
      <c r="W5" s="297"/>
      <c r="X5" s="298"/>
      <c r="Y5" s="406" t="s">
        <v>36</v>
      </c>
      <c r="Z5" s="407"/>
      <c r="AA5" s="407"/>
      <c r="AB5" s="407"/>
      <c r="AC5" s="359"/>
      <c r="AD5" s="359"/>
      <c r="AE5" s="359"/>
      <c r="AF5" s="359"/>
      <c r="AG5" s="359"/>
      <c r="AH5" s="403">
        <f t="shared" si="0"/>
        <v>0</v>
      </c>
      <c r="AI5" s="403"/>
      <c r="AJ5" s="613"/>
      <c r="AK5" s="613"/>
      <c r="AL5" s="613"/>
      <c r="AM5" s="614"/>
      <c r="AN5" s="404" t="s">
        <v>62</v>
      </c>
      <c r="AO5" s="405"/>
      <c r="AP5" s="405"/>
      <c r="AQ5" s="405"/>
      <c r="AR5" s="405"/>
      <c r="AS5" s="405"/>
      <c r="AT5" s="405" t="s">
        <v>33</v>
      </c>
      <c r="AU5" s="405"/>
      <c r="AV5" s="467"/>
      <c r="AW5" s="629"/>
      <c r="AX5" s="630"/>
      <c r="AY5" s="630"/>
      <c r="AZ5" s="630"/>
      <c r="BA5" s="630"/>
      <c r="BB5" s="631"/>
      <c r="BC5" s="232"/>
      <c r="BD5" s="137">
        <f t="shared" ref="BD5:BD46" si="1">IF(BG5="No",BC5,0)</f>
        <v>0</v>
      </c>
      <c r="BE5" s="403" t="str">
        <f>IF(AW5="","",HLOOKUP(AW5,AssociatedRef!$AP$1:$BZ$123,LOOKUP($M$19,AssociatedRef!$AP$2:$AP$123,AssociatedRef!$AQ$2:$AQ$123),FALSE))</f>
        <v/>
      </c>
      <c r="BF5" s="403"/>
      <c r="BG5" s="24" t="s">
        <v>361</v>
      </c>
      <c r="BH5" s="23" t="str">
        <f t="shared" ref="BH5:BH46" si="2">IF(BG5="Yes",IF(BE5="Yes",4,5),"")</f>
        <v/>
      </c>
      <c r="BI5" s="609" t="s">
        <v>13</v>
      </c>
      <c r="BJ5" s="407"/>
      <c r="BK5" s="407"/>
      <c r="BL5" s="407"/>
      <c r="BM5" s="403">
        <f>SUM(E20:L20)</f>
        <v>1</v>
      </c>
      <c r="BN5" s="403"/>
      <c r="BO5" s="359"/>
      <c r="BP5" s="359"/>
      <c r="BQ5" s="359"/>
      <c r="BR5" s="359"/>
      <c r="BS5" s="403">
        <f>IF(LOOKUP($M$19,AssociatedRef!$A$2:$A$123,AssociatedRef!$C$2:$C$123)="Yes",BQ5*4,BQ5*5)</f>
        <v>0</v>
      </c>
      <c r="BT5" s="615"/>
    </row>
    <row r="6" spans="1:72" x14ac:dyDescent="0.25">
      <c r="A6" s="296"/>
      <c r="B6" s="297"/>
      <c r="C6" s="297"/>
      <c r="D6" s="297"/>
      <c r="E6" s="297"/>
      <c r="F6" s="297"/>
      <c r="G6" s="297"/>
      <c r="H6" s="297"/>
      <c r="I6" s="297"/>
      <c r="J6" s="297"/>
      <c r="K6" s="297"/>
      <c r="L6" s="297"/>
      <c r="M6" s="297"/>
      <c r="N6" s="297"/>
      <c r="O6" s="297"/>
      <c r="P6" s="297"/>
      <c r="Q6" s="297"/>
      <c r="R6" s="297"/>
      <c r="S6" s="297"/>
      <c r="T6" s="297"/>
      <c r="U6" s="297"/>
      <c r="V6" s="297"/>
      <c r="W6" s="297"/>
      <c r="X6" s="298"/>
      <c r="Y6" s="406" t="s">
        <v>37</v>
      </c>
      <c r="Z6" s="407"/>
      <c r="AA6" s="407"/>
      <c r="AB6" s="407"/>
      <c r="AC6" s="359"/>
      <c r="AD6" s="359"/>
      <c r="AE6" s="359"/>
      <c r="AF6" s="359"/>
      <c r="AG6" s="359"/>
      <c r="AH6" s="403">
        <f t="shared" si="0"/>
        <v>0</v>
      </c>
      <c r="AI6" s="403"/>
      <c r="AJ6" s="613"/>
      <c r="AK6" s="613"/>
      <c r="AL6" s="613"/>
      <c r="AM6" s="614"/>
      <c r="AN6" s="358"/>
      <c r="AO6" s="359"/>
      <c r="AP6" s="359"/>
      <c r="AQ6" s="359"/>
      <c r="AR6" s="359"/>
      <c r="AS6" s="359"/>
      <c r="AT6" s="403" t="str">
        <f>IF(AN6="","",3)</f>
        <v/>
      </c>
      <c r="AU6" s="403"/>
      <c r="AV6" s="615"/>
      <c r="AW6" s="629"/>
      <c r="AX6" s="630"/>
      <c r="AY6" s="630"/>
      <c r="AZ6" s="630"/>
      <c r="BA6" s="630"/>
      <c r="BB6" s="631"/>
      <c r="BC6" s="232"/>
      <c r="BD6" s="137">
        <f t="shared" si="1"/>
        <v>0</v>
      </c>
      <c r="BE6" s="403" t="str">
        <f>IF(AW6="","",HLOOKUP(AW6,AssociatedRef!$AP$1:$BZ$123,LOOKUP($M$19,AssociatedRef!$AP$2:$AP$123,AssociatedRef!$AQ$2:$AQ$123),FALSE))</f>
        <v/>
      </c>
      <c r="BF6" s="403"/>
      <c r="BG6" s="24" t="s">
        <v>361</v>
      </c>
      <c r="BH6" s="23" t="str">
        <f t="shared" si="2"/>
        <v/>
      </c>
      <c r="BI6" s="609" t="s">
        <v>14</v>
      </c>
      <c r="BJ6" s="407"/>
      <c r="BK6" s="407"/>
      <c r="BL6" s="407"/>
      <c r="BM6" s="403">
        <f>SUM(E21:L21)</f>
        <v>1</v>
      </c>
      <c r="BN6" s="403"/>
      <c r="BO6" s="359"/>
      <c r="BP6" s="359"/>
      <c r="BQ6" s="359"/>
      <c r="BR6" s="359"/>
      <c r="BS6" s="403">
        <f>IF(LOOKUP($M$19,AssociatedRef!$A$2:$A$123,AssociatedRef!$D$2:$D$123)="Yes",BQ6*4,BQ6*5)</f>
        <v>0</v>
      </c>
      <c r="BT6" s="615"/>
    </row>
    <row r="7" spans="1:72" x14ac:dyDescent="0.25">
      <c r="A7" s="296"/>
      <c r="B7" s="297"/>
      <c r="C7" s="297"/>
      <c r="D7" s="297"/>
      <c r="E7" s="297"/>
      <c r="F7" s="297"/>
      <c r="G7" s="297"/>
      <c r="H7" s="297"/>
      <c r="I7" s="297"/>
      <c r="J7" s="297"/>
      <c r="K7" s="297"/>
      <c r="L7" s="297"/>
      <c r="M7" s="297"/>
      <c r="N7" s="297"/>
      <c r="O7" s="297"/>
      <c r="P7" s="297"/>
      <c r="Q7" s="297"/>
      <c r="R7" s="297"/>
      <c r="S7" s="297"/>
      <c r="T7" s="297"/>
      <c r="U7" s="297"/>
      <c r="V7" s="297"/>
      <c r="W7" s="297"/>
      <c r="X7" s="298"/>
      <c r="Y7" s="406" t="s">
        <v>38</v>
      </c>
      <c r="Z7" s="407"/>
      <c r="AA7" s="407"/>
      <c r="AB7" s="407"/>
      <c r="AC7" s="359"/>
      <c r="AD7" s="359"/>
      <c r="AE7" s="359"/>
      <c r="AF7" s="359"/>
      <c r="AG7" s="359"/>
      <c r="AH7" s="403">
        <f t="shared" si="0"/>
        <v>0</v>
      </c>
      <c r="AI7" s="403"/>
      <c r="AJ7" s="613"/>
      <c r="AK7" s="613"/>
      <c r="AL7" s="613"/>
      <c r="AM7" s="614"/>
      <c r="AN7" s="358"/>
      <c r="AO7" s="359"/>
      <c r="AP7" s="359"/>
      <c r="AQ7" s="359"/>
      <c r="AR7" s="359"/>
      <c r="AS7" s="359"/>
      <c r="AT7" s="403" t="str">
        <f t="shared" ref="AT7:AT33" si="3">IF(AN7="","",3)</f>
        <v/>
      </c>
      <c r="AU7" s="403"/>
      <c r="AV7" s="615"/>
      <c r="AW7" s="629"/>
      <c r="AX7" s="630"/>
      <c r="AY7" s="630"/>
      <c r="AZ7" s="630"/>
      <c r="BA7" s="630"/>
      <c r="BB7" s="631"/>
      <c r="BC7" s="232"/>
      <c r="BD7" s="137">
        <f t="shared" si="1"/>
        <v>0</v>
      </c>
      <c r="BE7" s="403" t="str">
        <f>IF(AW7="","",HLOOKUP(AW7,AssociatedRef!$AP$1:$BZ$123,LOOKUP($M$19,AssociatedRef!$AP$2:$AP$123,AssociatedRef!$AQ$2:$AQ$123),FALSE))</f>
        <v/>
      </c>
      <c r="BF7" s="403"/>
      <c r="BG7" s="24" t="s">
        <v>361</v>
      </c>
      <c r="BH7" s="23" t="str">
        <f t="shared" si="2"/>
        <v/>
      </c>
      <c r="BI7" s="609" t="s">
        <v>16</v>
      </c>
      <c r="BJ7" s="407"/>
      <c r="BK7" s="407"/>
      <c r="BL7" s="407"/>
      <c r="BM7" s="403">
        <f>SUM(E25:L25)</f>
        <v>1</v>
      </c>
      <c r="BN7" s="403"/>
      <c r="BO7" s="359"/>
      <c r="BP7" s="359"/>
      <c r="BQ7" s="359"/>
      <c r="BR7" s="359"/>
      <c r="BS7" s="403">
        <f>IF(LOOKUP($M$19,AssociatedRef!$A$2:$A$123,AssociatedRef!$E$2:$E$123)="Yes",BQ7*4,BQ7*5)</f>
        <v>0</v>
      </c>
      <c r="BT7" s="615"/>
    </row>
    <row r="8" spans="1:72" x14ac:dyDescent="0.25">
      <c r="A8" s="296"/>
      <c r="B8" s="297"/>
      <c r="C8" s="297"/>
      <c r="D8" s="297"/>
      <c r="E8" s="297"/>
      <c r="F8" s="297"/>
      <c r="G8" s="297"/>
      <c r="H8" s="297"/>
      <c r="I8" s="297"/>
      <c r="J8" s="297"/>
      <c r="K8" s="297"/>
      <c r="L8" s="297"/>
      <c r="M8" s="297"/>
      <c r="N8" s="297"/>
      <c r="O8" s="297"/>
      <c r="P8" s="297"/>
      <c r="Q8" s="297"/>
      <c r="R8" s="297"/>
      <c r="S8" s="297"/>
      <c r="T8" s="297"/>
      <c r="U8" s="297"/>
      <c r="V8" s="297"/>
      <c r="W8" s="297"/>
      <c r="X8" s="298"/>
      <c r="Y8" s="406" t="s">
        <v>39</v>
      </c>
      <c r="Z8" s="407"/>
      <c r="AA8" s="407"/>
      <c r="AB8" s="407"/>
      <c r="AC8" s="359"/>
      <c r="AD8" s="359"/>
      <c r="AE8" s="359"/>
      <c r="AF8" s="359"/>
      <c r="AG8" s="359"/>
      <c r="AH8" s="403">
        <f t="shared" si="0"/>
        <v>0</v>
      </c>
      <c r="AI8" s="403"/>
      <c r="AJ8" s="613"/>
      <c r="AK8" s="613"/>
      <c r="AL8" s="613"/>
      <c r="AM8" s="614"/>
      <c r="AN8" s="358"/>
      <c r="AO8" s="359"/>
      <c r="AP8" s="359"/>
      <c r="AQ8" s="359"/>
      <c r="AR8" s="359"/>
      <c r="AS8" s="359"/>
      <c r="AT8" s="403" t="str">
        <f t="shared" si="3"/>
        <v/>
      </c>
      <c r="AU8" s="403"/>
      <c r="AV8" s="615"/>
      <c r="AW8" s="629"/>
      <c r="AX8" s="630"/>
      <c r="AY8" s="630"/>
      <c r="AZ8" s="630"/>
      <c r="BA8" s="630"/>
      <c r="BB8" s="631"/>
      <c r="BC8" s="232"/>
      <c r="BD8" s="137">
        <f t="shared" si="1"/>
        <v>0</v>
      </c>
      <c r="BE8" s="403" t="str">
        <f>IF(AW8="","",HLOOKUP(AW8,AssociatedRef!$AP$1:$BZ$123,LOOKUP($M$19,AssociatedRef!$AP$2:$AP$123,AssociatedRef!$AQ$2:$AQ$123),FALSE))</f>
        <v/>
      </c>
      <c r="BF8" s="403"/>
      <c r="BG8" s="24" t="s">
        <v>361</v>
      </c>
      <c r="BH8" s="23" t="str">
        <f t="shared" si="2"/>
        <v/>
      </c>
      <c r="BI8" s="609" t="s">
        <v>17</v>
      </c>
      <c r="BJ8" s="407"/>
      <c r="BK8" s="407"/>
      <c r="BL8" s="407"/>
      <c r="BM8" s="403">
        <f>SUM(E26:L26)</f>
        <v>1</v>
      </c>
      <c r="BN8" s="403"/>
      <c r="BO8" s="359"/>
      <c r="BP8" s="359"/>
      <c r="BQ8" s="359"/>
      <c r="BR8" s="359"/>
      <c r="BS8" s="403">
        <f>IF(LOOKUP($M$19,AssociatedRef!$A$2:$A$123,AssociatedRef!$F$2:$F$123)="Yes",BQ8*4,BQ8*5)</f>
        <v>0</v>
      </c>
      <c r="BT8" s="615"/>
    </row>
    <row r="9" spans="1:72" x14ac:dyDescent="0.25">
      <c r="A9" s="296"/>
      <c r="B9" s="297"/>
      <c r="C9" s="297"/>
      <c r="D9" s="297"/>
      <c r="E9" s="297"/>
      <c r="F9" s="297"/>
      <c r="G9" s="297"/>
      <c r="H9" s="297"/>
      <c r="I9" s="297"/>
      <c r="J9" s="297"/>
      <c r="K9" s="297"/>
      <c r="L9" s="297"/>
      <c r="M9" s="297"/>
      <c r="N9" s="297"/>
      <c r="O9" s="297"/>
      <c r="P9" s="297"/>
      <c r="Q9" s="297"/>
      <c r="R9" s="297"/>
      <c r="S9" s="297"/>
      <c r="T9" s="297"/>
      <c r="U9" s="297"/>
      <c r="V9" s="297"/>
      <c r="W9" s="297"/>
      <c r="X9" s="298"/>
      <c r="Y9" s="406" t="s">
        <v>40</v>
      </c>
      <c r="Z9" s="407"/>
      <c r="AA9" s="407"/>
      <c r="AB9" s="407"/>
      <c r="AC9" s="359"/>
      <c r="AD9" s="359"/>
      <c r="AE9" s="359"/>
      <c r="AF9" s="359"/>
      <c r="AG9" s="359"/>
      <c r="AH9" s="403">
        <f t="shared" si="0"/>
        <v>0</v>
      </c>
      <c r="AI9" s="403"/>
      <c r="AJ9" s="613"/>
      <c r="AK9" s="613"/>
      <c r="AL9" s="613"/>
      <c r="AM9" s="614"/>
      <c r="AN9" s="358"/>
      <c r="AO9" s="359"/>
      <c r="AP9" s="359"/>
      <c r="AQ9" s="359"/>
      <c r="AR9" s="359"/>
      <c r="AS9" s="359"/>
      <c r="AT9" s="403" t="str">
        <f t="shared" si="3"/>
        <v/>
      </c>
      <c r="AU9" s="403"/>
      <c r="AV9" s="615"/>
      <c r="AW9" s="629"/>
      <c r="AX9" s="630"/>
      <c r="AY9" s="630"/>
      <c r="AZ9" s="630"/>
      <c r="BA9" s="630"/>
      <c r="BB9" s="631"/>
      <c r="BC9" s="232"/>
      <c r="BD9" s="137">
        <f t="shared" si="1"/>
        <v>0</v>
      </c>
      <c r="BE9" s="403" t="str">
        <f>IF(AW9="","",HLOOKUP(AW9,AssociatedRef!$AP$1:$BZ$123,LOOKUP($M$19,AssociatedRef!$AP$2:$AP$123,AssociatedRef!$AQ$2:$AQ$123),FALSE))</f>
        <v/>
      </c>
      <c r="BF9" s="403"/>
      <c r="BG9" s="24" t="s">
        <v>361</v>
      </c>
      <c r="BH9" s="23" t="str">
        <f t="shared" si="2"/>
        <v/>
      </c>
      <c r="BI9" s="609" t="s">
        <v>18</v>
      </c>
      <c r="BJ9" s="407"/>
      <c r="BK9" s="407"/>
      <c r="BL9" s="407"/>
      <c r="BM9" s="403">
        <f>SUM(E27:L27)</f>
        <v>1</v>
      </c>
      <c r="BN9" s="403"/>
      <c r="BO9" s="359"/>
      <c r="BP9" s="359"/>
      <c r="BQ9" s="359"/>
      <c r="BR9" s="359"/>
      <c r="BS9" s="403">
        <f>IF(LOOKUP($M$19,AssociatedRef!$A$2:$A$123,AssociatedRef!$G$2:$G$123)="Yes",BQ9*4,BQ9*5)</f>
        <v>0</v>
      </c>
      <c r="BT9" s="615"/>
    </row>
    <row r="10" spans="1:72" x14ac:dyDescent="0.25">
      <c r="A10" s="296"/>
      <c r="B10" s="297"/>
      <c r="C10" s="297"/>
      <c r="D10" s="297"/>
      <c r="E10" s="297"/>
      <c r="F10" s="297"/>
      <c r="G10" s="297"/>
      <c r="H10" s="297"/>
      <c r="I10" s="297"/>
      <c r="J10" s="297"/>
      <c r="K10" s="297"/>
      <c r="L10" s="297"/>
      <c r="M10" s="297"/>
      <c r="N10" s="297"/>
      <c r="O10" s="297"/>
      <c r="P10" s="297"/>
      <c r="Q10" s="297"/>
      <c r="R10" s="297"/>
      <c r="S10" s="297"/>
      <c r="T10" s="297"/>
      <c r="U10" s="297"/>
      <c r="V10" s="297"/>
      <c r="W10" s="297"/>
      <c r="X10" s="298"/>
      <c r="Y10" s="406" t="s">
        <v>41</v>
      </c>
      <c r="Z10" s="407"/>
      <c r="AA10" s="407"/>
      <c r="AB10" s="407"/>
      <c r="AC10" s="359"/>
      <c r="AD10" s="359"/>
      <c r="AE10" s="359"/>
      <c r="AF10" s="359"/>
      <c r="AG10" s="359"/>
      <c r="AH10" s="403">
        <f t="shared" si="0"/>
        <v>0</v>
      </c>
      <c r="AI10" s="403"/>
      <c r="AJ10" s="613"/>
      <c r="AK10" s="613"/>
      <c r="AL10" s="613"/>
      <c r="AM10" s="614"/>
      <c r="AN10" s="358"/>
      <c r="AO10" s="359"/>
      <c r="AP10" s="359"/>
      <c r="AQ10" s="359"/>
      <c r="AR10" s="359"/>
      <c r="AS10" s="359"/>
      <c r="AT10" s="403" t="str">
        <f t="shared" si="3"/>
        <v/>
      </c>
      <c r="AU10" s="403"/>
      <c r="AV10" s="615"/>
      <c r="AW10" s="629"/>
      <c r="AX10" s="630"/>
      <c r="AY10" s="630"/>
      <c r="AZ10" s="630"/>
      <c r="BA10" s="630"/>
      <c r="BB10" s="631"/>
      <c r="BC10" s="232"/>
      <c r="BD10" s="137">
        <f t="shared" si="1"/>
        <v>0</v>
      </c>
      <c r="BE10" s="403" t="str">
        <f>IF(AW10="","",HLOOKUP(AW10,AssociatedRef!$AP$1:$BZ$123,LOOKUP($M$19,AssociatedRef!$AP$2:$AP$123,AssociatedRef!$AQ$2:$AQ$123),FALSE))</f>
        <v/>
      </c>
      <c r="BF10" s="403"/>
      <c r="BG10" s="24" t="s">
        <v>361</v>
      </c>
      <c r="BH10" s="23" t="str">
        <f t="shared" si="2"/>
        <v/>
      </c>
      <c r="BI10" s="609" t="s">
        <v>19</v>
      </c>
      <c r="BJ10" s="407"/>
      <c r="BK10" s="407"/>
      <c r="BL10" s="407"/>
      <c r="BM10" s="403">
        <f>SUM(E31:L31)</f>
        <v>1</v>
      </c>
      <c r="BN10" s="403"/>
      <c r="BO10" s="359"/>
      <c r="BP10" s="359"/>
      <c r="BQ10" s="359"/>
      <c r="BR10" s="359"/>
      <c r="BS10" s="403">
        <f>IF(LOOKUP($M$19,AssociatedRef!$A$2:$A$123,AssociatedRef!$H$2:$H$123)="Yes",BQ10*4,BQ10*5)</f>
        <v>0</v>
      </c>
      <c r="BT10" s="615"/>
    </row>
    <row r="11" spans="1:72" ht="15.75" thickBot="1" x14ac:dyDescent="0.3">
      <c r="A11" s="296"/>
      <c r="B11" s="297"/>
      <c r="C11" s="297"/>
      <c r="D11" s="297"/>
      <c r="E11" s="297"/>
      <c r="F11" s="297"/>
      <c r="G11" s="297"/>
      <c r="H11" s="297"/>
      <c r="I11" s="297"/>
      <c r="J11" s="297"/>
      <c r="K11" s="297"/>
      <c r="L11" s="297"/>
      <c r="M11" s="297"/>
      <c r="N11" s="297"/>
      <c r="O11" s="297"/>
      <c r="P11" s="297"/>
      <c r="Q11" s="297"/>
      <c r="R11" s="297"/>
      <c r="S11" s="297"/>
      <c r="T11" s="297"/>
      <c r="U11" s="297"/>
      <c r="V11" s="297"/>
      <c r="W11" s="297"/>
      <c r="X11" s="298"/>
      <c r="Y11" s="406" t="s">
        <v>42</v>
      </c>
      <c r="Z11" s="407"/>
      <c r="AA11" s="407"/>
      <c r="AB11" s="407"/>
      <c r="AC11" s="359"/>
      <c r="AD11" s="359"/>
      <c r="AE11" s="359"/>
      <c r="AF11" s="359"/>
      <c r="AG11" s="359"/>
      <c r="AH11" s="403">
        <f t="shared" si="0"/>
        <v>0</v>
      </c>
      <c r="AI11" s="403"/>
      <c r="AJ11" s="613"/>
      <c r="AK11" s="613"/>
      <c r="AL11" s="613"/>
      <c r="AM11" s="614"/>
      <c r="AN11" s="358"/>
      <c r="AO11" s="359"/>
      <c r="AP11" s="359"/>
      <c r="AQ11" s="359"/>
      <c r="AR11" s="359"/>
      <c r="AS11" s="359"/>
      <c r="AT11" s="403" t="str">
        <f t="shared" si="3"/>
        <v/>
      </c>
      <c r="AU11" s="403"/>
      <c r="AV11" s="615"/>
      <c r="AW11" s="629"/>
      <c r="AX11" s="630"/>
      <c r="AY11" s="630"/>
      <c r="AZ11" s="630"/>
      <c r="BA11" s="630"/>
      <c r="BB11" s="631"/>
      <c r="BC11" s="232"/>
      <c r="BD11" s="137">
        <f t="shared" si="1"/>
        <v>0</v>
      </c>
      <c r="BE11" s="403" t="str">
        <f>IF(AW11="","",HLOOKUP(AW11,AssociatedRef!$AP$1:$BZ$123,LOOKUP($M$19,AssociatedRef!$AP$2:$AP$123,AssociatedRef!$AQ$2:$AQ$123),FALSE))</f>
        <v/>
      </c>
      <c r="BF11" s="403"/>
      <c r="BG11" s="24" t="s">
        <v>361</v>
      </c>
      <c r="BH11" s="23" t="str">
        <f t="shared" si="2"/>
        <v/>
      </c>
      <c r="BI11" s="609" t="s">
        <v>20</v>
      </c>
      <c r="BJ11" s="407"/>
      <c r="BK11" s="407"/>
      <c r="BL11" s="407"/>
      <c r="BM11" s="403">
        <f>SUM(E32:L32)</f>
        <v>1</v>
      </c>
      <c r="BN11" s="403"/>
      <c r="BO11" s="359"/>
      <c r="BP11" s="359"/>
      <c r="BQ11" s="359"/>
      <c r="BR11" s="359"/>
      <c r="BS11" s="403">
        <f>IF(LOOKUP($M$19,AssociatedRef!$A$2:$A$123,AssociatedRef!$I$2:$I$123)="Yes",BQ11*4,BQ11*5)</f>
        <v>0</v>
      </c>
      <c r="BT11" s="615"/>
    </row>
    <row r="12" spans="1:72" x14ac:dyDescent="0.25">
      <c r="A12" s="404" t="s">
        <v>0</v>
      </c>
      <c r="B12" s="405"/>
      <c r="C12" s="405"/>
      <c r="D12" s="405"/>
      <c r="E12" s="361"/>
      <c r="F12" s="361"/>
      <c r="G12" s="361"/>
      <c r="H12" s="361"/>
      <c r="I12" s="361"/>
      <c r="J12" s="361"/>
      <c r="K12" s="361"/>
      <c r="L12" s="361"/>
      <c r="M12" s="361"/>
      <c r="N12" s="477"/>
      <c r="O12" s="404" t="s">
        <v>2</v>
      </c>
      <c r="P12" s="405"/>
      <c r="Q12" s="405"/>
      <c r="R12" s="405"/>
      <c r="S12" s="361"/>
      <c r="T12" s="361"/>
      <c r="U12" s="361"/>
      <c r="V12" s="361"/>
      <c r="W12" s="361"/>
      <c r="X12" s="477"/>
      <c r="Y12" s="609" t="s">
        <v>43</v>
      </c>
      <c r="Z12" s="407"/>
      <c r="AA12" s="407"/>
      <c r="AB12" s="407"/>
      <c r="AC12" s="359"/>
      <c r="AD12" s="359"/>
      <c r="AE12" s="359"/>
      <c r="AF12" s="359"/>
      <c r="AG12" s="359"/>
      <c r="AH12" s="403">
        <f t="shared" si="0"/>
        <v>0</v>
      </c>
      <c r="AI12" s="403"/>
      <c r="AJ12" s="613"/>
      <c r="AK12" s="613"/>
      <c r="AL12" s="613"/>
      <c r="AM12" s="614"/>
      <c r="AN12" s="358"/>
      <c r="AO12" s="359"/>
      <c r="AP12" s="359"/>
      <c r="AQ12" s="359"/>
      <c r="AR12" s="359"/>
      <c r="AS12" s="359"/>
      <c r="AT12" s="403" t="str">
        <f t="shared" si="3"/>
        <v/>
      </c>
      <c r="AU12" s="403"/>
      <c r="AV12" s="615"/>
      <c r="AW12" s="629"/>
      <c r="AX12" s="630"/>
      <c r="AY12" s="630"/>
      <c r="AZ12" s="630"/>
      <c r="BA12" s="630"/>
      <c r="BB12" s="631"/>
      <c r="BC12" s="232"/>
      <c r="BD12" s="137">
        <f t="shared" si="1"/>
        <v>0</v>
      </c>
      <c r="BE12" s="403" t="str">
        <f>IF(AW12="","",HLOOKUP(AW12,AssociatedRef!$AP$1:$BZ$123,LOOKUP($M$19,AssociatedRef!$AP$2:$AP$123,AssociatedRef!$AQ$2:$AQ$123),FALSE))</f>
        <v/>
      </c>
      <c r="BF12" s="403"/>
      <c r="BG12" s="24" t="s">
        <v>361</v>
      </c>
      <c r="BH12" s="23" t="str">
        <f t="shared" si="2"/>
        <v/>
      </c>
      <c r="BI12" s="609" t="s">
        <v>21</v>
      </c>
      <c r="BJ12" s="407"/>
      <c r="BK12" s="407"/>
      <c r="BL12" s="407"/>
      <c r="BM12" s="403">
        <f>SUM(E33:L33)</f>
        <v>1</v>
      </c>
      <c r="BN12" s="403"/>
      <c r="BO12" s="359"/>
      <c r="BP12" s="359"/>
      <c r="BQ12" s="359"/>
      <c r="BR12" s="359"/>
      <c r="BS12" s="403">
        <f>IF(LOOKUP($M$19,AssociatedRef!$A$2:$A$123,AssociatedRef!$J$2:$J$123)="Yes",BQ12*4,BQ12*5)</f>
        <v>0</v>
      </c>
      <c r="BT12" s="615"/>
    </row>
    <row r="13" spans="1:72" ht="15.75" thickBot="1" x14ac:dyDescent="0.3">
      <c r="A13" s="408" t="s">
        <v>1</v>
      </c>
      <c r="B13" s="402"/>
      <c r="C13" s="402"/>
      <c r="D13" s="402"/>
      <c r="E13" s="415"/>
      <c r="F13" s="415"/>
      <c r="G13" s="415"/>
      <c r="H13" s="415"/>
      <c r="I13" s="415"/>
      <c r="J13" s="415"/>
      <c r="K13" s="415"/>
      <c r="L13" s="415"/>
      <c r="M13" s="415"/>
      <c r="N13" s="429"/>
      <c r="O13" s="408" t="s">
        <v>4</v>
      </c>
      <c r="P13" s="402"/>
      <c r="Q13" s="402"/>
      <c r="R13" s="402"/>
      <c r="S13" s="667" t="s">
        <v>59</v>
      </c>
      <c r="T13" s="667"/>
      <c r="U13" s="667"/>
      <c r="V13" s="667"/>
      <c r="W13" s="667"/>
      <c r="X13" s="668"/>
      <c r="Y13" s="609" t="s">
        <v>44</v>
      </c>
      <c r="Z13" s="407"/>
      <c r="AA13" s="407"/>
      <c r="AB13" s="407"/>
      <c r="AC13" s="359"/>
      <c r="AD13" s="359"/>
      <c r="AE13" s="359"/>
      <c r="AF13" s="359"/>
      <c r="AG13" s="359"/>
      <c r="AH13" s="403">
        <f t="shared" si="0"/>
        <v>0</v>
      </c>
      <c r="AI13" s="403"/>
      <c r="AJ13" s="613"/>
      <c r="AK13" s="613"/>
      <c r="AL13" s="613"/>
      <c r="AM13" s="614"/>
      <c r="AN13" s="358"/>
      <c r="AO13" s="359"/>
      <c r="AP13" s="359"/>
      <c r="AQ13" s="359"/>
      <c r="AR13" s="359"/>
      <c r="AS13" s="359"/>
      <c r="AT13" s="403" t="str">
        <f t="shared" si="3"/>
        <v/>
      </c>
      <c r="AU13" s="403"/>
      <c r="AV13" s="615"/>
      <c r="AW13" s="629"/>
      <c r="AX13" s="630"/>
      <c r="AY13" s="630"/>
      <c r="AZ13" s="630"/>
      <c r="BA13" s="630"/>
      <c r="BB13" s="631"/>
      <c r="BC13" s="232"/>
      <c r="BD13" s="137">
        <f t="shared" si="1"/>
        <v>0</v>
      </c>
      <c r="BE13" s="403" t="str">
        <f>IF(AW13="","",HLOOKUP(AW13,AssociatedRef!$AP$1:$BZ$123,LOOKUP($M$19,AssociatedRef!$AP$2:$AP$123,AssociatedRef!$AQ$2:$AQ$123),FALSE))</f>
        <v/>
      </c>
      <c r="BF13" s="403"/>
      <c r="BG13" s="24" t="s">
        <v>361</v>
      </c>
      <c r="BH13" s="23" t="str">
        <f t="shared" si="2"/>
        <v/>
      </c>
      <c r="BI13" s="632"/>
      <c r="BJ13" s="497"/>
      <c r="BK13" s="497"/>
      <c r="BL13" s="497"/>
      <c r="BM13" s="628" t="s">
        <v>28</v>
      </c>
      <c r="BN13" s="628"/>
      <c r="BO13" s="497">
        <f>SUM(BO4:BP12)</f>
        <v>0</v>
      </c>
      <c r="BP13" s="497"/>
      <c r="BQ13" s="414"/>
      <c r="BR13" s="414"/>
      <c r="BS13" s="414"/>
      <c r="BT13" s="518"/>
    </row>
    <row r="14" spans="1:72" x14ac:dyDescent="0.25">
      <c r="A14" s="597" t="s">
        <v>1775</v>
      </c>
      <c r="B14" s="597"/>
      <c r="C14" s="597"/>
      <c r="D14" s="597"/>
      <c r="E14" s="597"/>
      <c r="F14" s="597"/>
      <c r="G14" s="597"/>
      <c r="H14" s="597"/>
      <c r="I14" s="597"/>
      <c r="J14" s="597"/>
      <c r="K14" s="597"/>
      <c r="L14" s="597"/>
      <c r="M14" s="597"/>
      <c r="N14" s="597"/>
      <c r="O14" s="597"/>
      <c r="P14" s="597"/>
      <c r="Q14" s="597"/>
      <c r="R14" s="597"/>
      <c r="S14" s="597"/>
      <c r="T14" s="597"/>
      <c r="U14" s="597"/>
      <c r="V14" s="597"/>
      <c r="W14" s="597"/>
      <c r="X14" s="598"/>
      <c r="Y14" s="406" t="s">
        <v>45</v>
      </c>
      <c r="Z14" s="407"/>
      <c r="AA14" s="407"/>
      <c r="AB14" s="407"/>
      <c r="AC14" s="359"/>
      <c r="AD14" s="359"/>
      <c r="AE14" s="359"/>
      <c r="AF14" s="359"/>
      <c r="AG14" s="359"/>
      <c r="AH14" s="403">
        <f t="shared" si="0"/>
        <v>0</v>
      </c>
      <c r="AI14" s="403"/>
      <c r="AJ14" s="613"/>
      <c r="AK14" s="613"/>
      <c r="AL14" s="613"/>
      <c r="AM14" s="614"/>
      <c r="AN14" s="358"/>
      <c r="AO14" s="359"/>
      <c r="AP14" s="359"/>
      <c r="AQ14" s="359"/>
      <c r="AR14" s="359"/>
      <c r="AS14" s="359"/>
      <c r="AT14" s="403" t="str">
        <f t="shared" si="3"/>
        <v/>
      </c>
      <c r="AU14" s="403"/>
      <c r="AV14" s="615"/>
      <c r="AW14" s="629"/>
      <c r="AX14" s="630"/>
      <c r="AY14" s="630"/>
      <c r="AZ14" s="630"/>
      <c r="BA14" s="630"/>
      <c r="BB14" s="631"/>
      <c r="BC14" s="232"/>
      <c r="BD14" s="137">
        <f t="shared" si="1"/>
        <v>0</v>
      </c>
      <c r="BE14" s="403" t="str">
        <f>IF(AW14="","",HLOOKUP(AW14,AssociatedRef!$AP$1:$BZ$123,LOOKUP($M$19,AssociatedRef!$AP$2:$AP$123,AssociatedRef!$AQ$2:$AQ$123),FALSE))</f>
        <v/>
      </c>
      <c r="BF14" s="403"/>
      <c r="BG14" s="24" t="s">
        <v>361</v>
      </c>
      <c r="BH14" s="23" t="str">
        <f t="shared" si="2"/>
        <v/>
      </c>
      <c r="BI14" s="390" t="s">
        <v>73</v>
      </c>
      <c r="BJ14" s="391"/>
      <c r="BK14" s="391"/>
      <c r="BL14" s="391"/>
      <c r="BM14" s="391"/>
      <c r="BN14" s="391"/>
      <c r="BO14" s="417">
        <f>SUM(BO13,BD4:BD46)</f>
        <v>0</v>
      </c>
      <c r="BP14" s="637"/>
      <c r="BQ14" s="640"/>
      <c r="BR14" s="641"/>
      <c r="BS14" s="641"/>
      <c r="BT14" s="642"/>
    </row>
    <row r="15" spans="1:72" ht="15.75" thickBot="1" x14ac:dyDescent="0.3">
      <c r="A15" s="599"/>
      <c r="B15" s="599"/>
      <c r="C15" s="599"/>
      <c r="D15" s="599"/>
      <c r="E15" s="599"/>
      <c r="F15" s="599"/>
      <c r="G15" s="599"/>
      <c r="H15" s="599"/>
      <c r="I15" s="599"/>
      <c r="J15" s="599"/>
      <c r="K15" s="599"/>
      <c r="L15" s="599"/>
      <c r="M15" s="599"/>
      <c r="N15" s="599"/>
      <c r="O15" s="599"/>
      <c r="P15" s="599"/>
      <c r="Q15" s="599"/>
      <c r="R15" s="599"/>
      <c r="S15" s="599"/>
      <c r="T15" s="599"/>
      <c r="U15" s="599"/>
      <c r="V15" s="599"/>
      <c r="W15" s="599"/>
      <c r="X15" s="600"/>
      <c r="Y15" s="406" t="s">
        <v>46</v>
      </c>
      <c r="Z15" s="407"/>
      <c r="AA15" s="407"/>
      <c r="AB15" s="407"/>
      <c r="AC15" s="359"/>
      <c r="AD15" s="359"/>
      <c r="AE15" s="359"/>
      <c r="AF15" s="359"/>
      <c r="AG15" s="359"/>
      <c r="AH15" s="403">
        <f t="shared" si="0"/>
        <v>0</v>
      </c>
      <c r="AI15" s="403"/>
      <c r="AJ15" s="613"/>
      <c r="AK15" s="613"/>
      <c r="AL15" s="613"/>
      <c r="AM15" s="614"/>
      <c r="AN15" s="358"/>
      <c r="AO15" s="359"/>
      <c r="AP15" s="359"/>
      <c r="AQ15" s="359"/>
      <c r="AR15" s="359"/>
      <c r="AS15" s="359"/>
      <c r="AT15" s="403" t="str">
        <f t="shared" si="3"/>
        <v/>
      </c>
      <c r="AU15" s="403"/>
      <c r="AV15" s="615"/>
      <c r="AW15" s="629"/>
      <c r="AX15" s="630"/>
      <c r="AY15" s="630"/>
      <c r="AZ15" s="630"/>
      <c r="BA15" s="630"/>
      <c r="BB15" s="631"/>
      <c r="BC15" s="232"/>
      <c r="BD15" s="137">
        <f t="shared" si="1"/>
        <v>0</v>
      </c>
      <c r="BE15" s="403" t="str">
        <f>IF(AW15="","",HLOOKUP(AW15,AssociatedRef!$AP$1:$BZ$123,LOOKUP($M$19,AssociatedRef!$AP$2:$AP$123,AssociatedRef!$AQ$2:$AQ$123),FALSE))</f>
        <v/>
      </c>
      <c r="BF15" s="403"/>
      <c r="BG15" s="24" t="s">
        <v>361</v>
      </c>
      <c r="BH15" s="23" t="str">
        <f t="shared" si="2"/>
        <v/>
      </c>
      <c r="BI15" s="388"/>
      <c r="BJ15" s="389"/>
      <c r="BK15" s="389"/>
      <c r="BL15" s="389"/>
      <c r="BM15" s="389"/>
      <c r="BN15" s="389"/>
      <c r="BO15" s="356"/>
      <c r="BP15" s="401"/>
      <c r="BQ15" s="323"/>
      <c r="BR15" s="324"/>
      <c r="BS15" s="324"/>
      <c r="BT15" s="325"/>
    </row>
    <row r="16" spans="1:72" ht="15" customHeight="1" thickBot="1" x14ac:dyDescent="0.3">
      <c r="A16" s="436" t="s">
        <v>8</v>
      </c>
      <c r="B16" s="437"/>
      <c r="C16" s="437"/>
      <c r="D16" s="437"/>
      <c r="E16" s="437"/>
      <c r="F16" s="437"/>
      <c r="G16" s="437"/>
      <c r="H16" s="437"/>
      <c r="I16" s="437"/>
      <c r="J16" s="437"/>
      <c r="K16" s="437"/>
      <c r="L16" s="438"/>
      <c r="M16" s="405" t="s">
        <v>3</v>
      </c>
      <c r="N16" s="405"/>
      <c r="O16" s="405"/>
      <c r="P16" s="405"/>
      <c r="Q16" s="436" t="s">
        <v>31</v>
      </c>
      <c r="R16" s="437"/>
      <c r="S16" s="437"/>
      <c r="T16" s="437"/>
      <c r="U16" s="437"/>
      <c r="V16" s="437"/>
      <c r="W16" s="437"/>
      <c r="X16" s="437"/>
      <c r="Y16" s="406" t="s">
        <v>47</v>
      </c>
      <c r="Z16" s="407"/>
      <c r="AA16" s="407"/>
      <c r="AB16" s="407"/>
      <c r="AC16" s="359"/>
      <c r="AD16" s="359"/>
      <c r="AE16" s="359"/>
      <c r="AF16" s="359"/>
      <c r="AG16" s="359"/>
      <c r="AH16" s="403">
        <f t="shared" si="0"/>
        <v>0</v>
      </c>
      <c r="AI16" s="403"/>
      <c r="AJ16" s="613"/>
      <c r="AK16" s="613"/>
      <c r="AL16" s="613"/>
      <c r="AM16" s="614"/>
      <c r="AN16" s="358"/>
      <c r="AO16" s="359"/>
      <c r="AP16" s="359"/>
      <c r="AQ16" s="359"/>
      <c r="AR16" s="359"/>
      <c r="AS16" s="359"/>
      <c r="AT16" s="403" t="str">
        <f t="shared" si="3"/>
        <v/>
      </c>
      <c r="AU16" s="403"/>
      <c r="AV16" s="615"/>
      <c r="AW16" s="629"/>
      <c r="AX16" s="630"/>
      <c r="AY16" s="630"/>
      <c r="AZ16" s="630"/>
      <c r="BA16" s="630"/>
      <c r="BB16" s="631"/>
      <c r="BC16" s="232"/>
      <c r="BD16" s="137">
        <f t="shared" si="1"/>
        <v>0</v>
      </c>
      <c r="BE16" s="403" t="str">
        <f>IF(AW16="","",HLOOKUP(AW16,AssociatedRef!$AP$1:$BZ$123,LOOKUP($M$19,AssociatedRef!$AP$2:$AP$123,AssociatedRef!$AQ$2:$AQ$123),FALSE))</f>
        <v/>
      </c>
      <c r="BF16" s="403"/>
      <c r="BG16" s="24" t="s">
        <v>361</v>
      </c>
      <c r="BH16" s="23" t="str">
        <f t="shared" si="2"/>
        <v/>
      </c>
      <c r="BI16" s="609" t="s">
        <v>32</v>
      </c>
      <c r="BJ16" s="407"/>
      <c r="BK16" s="407"/>
      <c r="BL16" s="407"/>
      <c r="BM16" s="407"/>
      <c r="BN16" s="407"/>
      <c r="BO16" s="403">
        <f>10-BO14</f>
        <v>10</v>
      </c>
      <c r="BP16" s="615"/>
      <c r="BQ16" s="323"/>
      <c r="BR16" s="324"/>
      <c r="BS16" s="324"/>
      <c r="BT16" s="325"/>
    </row>
    <row r="17" spans="1:72" ht="15.75" customHeight="1" thickBot="1" x14ac:dyDescent="0.3">
      <c r="A17" s="439"/>
      <c r="B17" s="440"/>
      <c r="C17" s="440"/>
      <c r="D17" s="440"/>
      <c r="E17" s="440"/>
      <c r="F17" s="440"/>
      <c r="G17" s="440"/>
      <c r="H17" s="440"/>
      <c r="I17" s="440"/>
      <c r="J17" s="440"/>
      <c r="K17" s="440"/>
      <c r="L17" s="441"/>
      <c r="M17" s="591" t="s">
        <v>59</v>
      </c>
      <c r="N17" s="591"/>
      <c r="O17" s="591"/>
      <c r="P17" s="592"/>
      <c r="Q17" s="439"/>
      <c r="R17" s="440"/>
      <c r="S17" s="440"/>
      <c r="T17" s="440"/>
      <c r="U17" s="440"/>
      <c r="V17" s="440"/>
      <c r="W17" s="440"/>
      <c r="X17" s="440"/>
      <c r="Y17" s="406" t="s">
        <v>48</v>
      </c>
      <c r="Z17" s="407"/>
      <c r="AA17" s="407"/>
      <c r="AB17" s="407"/>
      <c r="AC17" s="359"/>
      <c r="AD17" s="359"/>
      <c r="AE17" s="359"/>
      <c r="AF17" s="359"/>
      <c r="AG17" s="359"/>
      <c r="AH17" s="403">
        <f t="shared" si="0"/>
        <v>0</v>
      </c>
      <c r="AI17" s="403"/>
      <c r="AJ17" s="613"/>
      <c r="AK17" s="613"/>
      <c r="AL17" s="613"/>
      <c r="AM17" s="614"/>
      <c r="AN17" s="358"/>
      <c r="AO17" s="359"/>
      <c r="AP17" s="359"/>
      <c r="AQ17" s="359"/>
      <c r="AR17" s="359"/>
      <c r="AS17" s="359"/>
      <c r="AT17" s="403" t="str">
        <f t="shared" si="3"/>
        <v/>
      </c>
      <c r="AU17" s="403"/>
      <c r="AV17" s="615"/>
      <c r="AW17" s="629"/>
      <c r="AX17" s="630"/>
      <c r="AY17" s="630"/>
      <c r="AZ17" s="630"/>
      <c r="BA17" s="630"/>
      <c r="BB17" s="631"/>
      <c r="BC17" s="232"/>
      <c r="BD17" s="137">
        <f t="shared" si="1"/>
        <v>0</v>
      </c>
      <c r="BE17" s="403" t="str">
        <f>IF(AW17="","",HLOOKUP(AW17,AssociatedRef!$AP$1:$BZ$123,LOOKUP($M$19,AssociatedRef!$AP$2:$AP$123,AssociatedRef!$AQ$2:$AQ$123),FALSE))</f>
        <v/>
      </c>
      <c r="BF17" s="403"/>
      <c r="BG17" s="24" t="s">
        <v>361</v>
      </c>
      <c r="BH17" s="23" t="str">
        <f t="shared" si="2"/>
        <v/>
      </c>
      <c r="BI17" s="638" t="s">
        <v>29</v>
      </c>
      <c r="BJ17" s="628"/>
      <c r="BK17" s="628"/>
      <c r="BL17" s="628"/>
      <c r="BM17" s="628"/>
      <c r="BN17" s="628"/>
      <c r="BO17" s="497" t="str">
        <f>IF(BO16=0,"Yes","No")</f>
        <v>No</v>
      </c>
      <c r="BP17" s="639"/>
      <c r="BQ17" s="364"/>
      <c r="BR17" s="365"/>
      <c r="BS17" s="365"/>
      <c r="BT17" s="590"/>
    </row>
    <row r="18" spans="1:72" ht="15.75" thickBot="1" x14ac:dyDescent="0.3">
      <c r="A18" s="494"/>
      <c r="B18" s="403"/>
      <c r="C18" s="403"/>
      <c r="D18" s="403"/>
      <c r="E18" s="407" t="s">
        <v>10</v>
      </c>
      <c r="F18" s="407"/>
      <c r="G18" s="407"/>
      <c r="H18" s="407"/>
      <c r="I18" s="407" t="s">
        <v>11</v>
      </c>
      <c r="J18" s="407"/>
      <c r="K18" s="407"/>
      <c r="L18" s="594"/>
      <c r="M18" s="402" t="s">
        <v>5</v>
      </c>
      <c r="N18" s="402"/>
      <c r="O18" s="402"/>
      <c r="P18" s="402"/>
      <c r="Q18" s="493"/>
      <c r="R18" s="403"/>
      <c r="S18" s="403"/>
      <c r="T18" s="403"/>
      <c r="U18" s="407" t="s">
        <v>10</v>
      </c>
      <c r="V18" s="407"/>
      <c r="W18" s="407" t="s">
        <v>11</v>
      </c>
      <c r="X18" s="595"/>
      <c r="Y18" s="406" t="s">
        <v>49</v>
      </c>
      <c r="Z18" s="407"/>
      <c r="AA18" s="407"/>
      <c r="AB18" s="407"/>
      <c r="AC18" s="359"/>
      <c r="AD18" s="359"/>
      <c r="AE18" s="359"/>
      <c r="AF18" s="359"/>
      <c r="AG18" s="359"/>
      <c r="AH18" s="403">
        <f t="shared" si="0"/>
        <v>0</v>
      </c>
      <c r="AI18" s="403"/>
      <c r="AJ18" s="613"/>
      <c r="AK18" s="613"/>
      <c r="AL18" s="613"/>
      <c r="AM18" s="614"/>
      <c r="AN18" s="358"/>
      <c r="AO18" s="359"/>
      <c r="AP18" s="359"/>
      <c r="AQ18" s="359"/>
      <c r="AR18" s="359"/>
      <c r="AS18" s="359"/>
      <c r="AT18" s="403" t="str">
        <f t="shared" si="3"/>
        <v/>
      </c>
      <c r="AU18" s="403"/>
      <c r="AV18" s="615"/>
      <c r="AW18" s="629"/>
      <c r="AX18" s="630"/>
      <c r="AY18" s="630"/>
      <c r="AZ18" s="630"/>
      <c r="BA18" s="630"/>
      <c r="BB18" s="631"/>
      <c r="BC18" s="232"/>
      <c r="BD18" s="137">
        <f t="shared" si="1"/>
        <v>0</v>
      </c>
      <c r="BE18" s="403" t="str">
        <f>IF(AW18="","",HLOOKUP(AW18,AssociatedRef!$AP$1:$BZ$123,LOOKUP($M$19,AssociatedRef!$AP$2:$AP$123,AssociatedRef!$AQ$2:$AQ$123),FALSE))</f>
        <v/>
      </c>
      <c r="BF18" s="403"/>
      <c r="BG18" s="24" t="s">
        <v>361</v>
      </c>
      <c r="BH18" s="23" t="str">
        <f t="shared" si="2"/>
        <v/>
      </c>
      <c r="BI18" s="436" t="s">
        <v>74</v>
      </c>
      <c r="BJ18" s="437"/>
      <c r="BK18" s="437"/>
      <c r="BL18" s="437"/>
      <c r="BM18" s="437"/>
      <c r="BN18" s="437"/>
      <c r="BO18" s="437"/>
      <c r="BP18" s="437"/>
      <c r="BQ18" s="437"/>
      <c r="BR18" s="437"/>
      <c r="BS18" s="437"/>
      <c r="BT18" s="438"/>
    </row>
    <row r="19" spans="1:72" ht="15.75" thickBot="1" x14ac:dyDescent="0.3">
      <c r="A19" s="406" t="s">
        <v>30</v>
      </c>
      <c r="B19" s="407"/>
      <c r="C19" s="407"/>
      <c r="D19" s="407"/>
      <c r="E19" s="359">
        <v>1</v>
      </c>
      <c r="F19" s="359"/>
      <c r="G19" s="359"/>
      <c r="H19" s="359"/>
      <c r="I19" s="359"/>
      <c r="J19" s="359"/>
      <c r="K19" s="359"/>
      <c r="L19" s="410"/>
      <c r="M19" s="607" t="s">
        <v>59</v>
      </c>
      <c r="N19" s="607"/>
      <c r="O19" s="607"/>
      <c r="P19" s="608"/>
      <c r="Q19" s="403" t="str">
        <f>IF(M17="select","Select Pantheon",LOOKUP(M17,PantheonList!A3:A15,PantheonList!C3:C15))</f>
        <v>Select Pantheon</v>
      </c>
      <c r="R19" s="403"/>
      <c r="S19" s="403"/>
      <c r="T19" s="403"/>
      <c r="U19" s="359">
        <v>1</v>
      </c>
      <c r="V19" s="359"/>
      <c r="W19" s="359"/>
      <c r="X19" s="413"/>
      <c r="Y19" s="406" t="s">
        <v>50</v>
      </c>
      <c r="Z19" s="407"/>
      <c r="AA19" s="407"/>
      <c r="AB19" s="407"/>
      <c r="AC19" s="359"/>
      <c r="AD19" s="359"/>
      <c r="AE19" s="359"/>
      <c r="AF19" s="359"/>
      <c r="AG19" s="359"/>
      <c r="AH19" s="403">
        <f t="shared" si="0"/>
        <v>0</v>
      </c>
      <c r="AI19" s="403"/>
      <c r="AJ19" s="613"/>
      <c r="AK19" s="613"/>
      <c r="AL19" s="613"/>
      <c r="AM19" s="614"/>
      <c r="AN19" s="358"/>
      <c r="AO19" s="359"/>
      <c r="AP19" s="359"/>
      <c r="AQ19" s="359"/>
      <c r="AR19" s="359"/>
      <c r="AS19" s="359"/>
      <c r="AT19" s="403" t="str">
        <f t="shared" si="3"/>
        <v/>
      </c>
      <c r="AU19" s="403"/>
      <c r="AV19" s="615"/>
      <c r="AW19" s="629"/>
      <c r="AX19" s="630"/>
      <c r="AY19" s="630"/>
      <c r="AZ19" s="630"/>
      <c r="BA19" s="630"/>
      <c r="BB19" s="631"/>
      <c r="BC19" s="232"/>
      <c r="BD19" s="137">
        <f t="shared" si="1"/>
        <v>0</v>
      </c>
      <c r="BE19" s="403" t="str">
        <f>IF(AW19="","",HLOOKUP(AW19,AssociatedRef!$AP$1:$BZ$123,LOOKUP($M$19,AssociatedRef!$AP$2:$AP$123,AssociatedRef!$AQ$2:$AQ$123),FALSE))</f>
        <v/>
      </c>
      <c r="BF19" s="403"/>
      <c r="BG19" s="24" t="s">
        <v>361</v>
      </c>
      <c r="BH19" s="23" t="str">
        <f t="shared" si="2"/>
        <v/>
      </c>
      <c r="BI19" s="439"/>
      <c r="BJ19" s="440"/>
      <c r="BK19" s="440"/>
      <c r="BL19" s="440"/>
      <c r="BM19" s="440"/>
      <c r="BN19" s="440"/>
      <c r="BO19" s="440"/>
      <c r="BP19" s="440"/>
      <c r="BQ19" s="440"/>
      <c r="BR19" s="440"/>
      <c r="BS19" s="440"/>
      <c r="BT19" s="441"/>
    </row>
    <row r="20" spans="1:72" x14ac:dyDescent="0.25">
      <c r="A20" s="406" t="s">
        <v>13</v>
      </c>
      <c r="B20" s="407"/>
      <c r="C20" s="407"/>
      <c r="D20" s="407"/>
      <c r="E20" s="359">
        <v>1</v>
      </c>
      <c r="F20" s="359"/>
      <c r="G20" s="359"/>
      <c r="H20" s="359"/>
      <c r="I20" s="359"/>
      <c r="J20" s="359"/>
      <c r="K20" s="359"/>
      <c r="L20" s="410"/>
      <c r="M20" s="436" t="s">
        <v>958</v>
      </c>
      <c r="N20" s="437"/>
      <c r="O20" s="437"/>
      <c r="P20" s="437"/>
      <c r="Q20" s="403" t="str">
        <f>IF(M17="select","Select Pantheon",LOOKUP(M17,PantheonList!A3:A15,PantheonList!D3:D15))</f>
        <v>Select Pantheon</v>
      </c>
      <c r="R20" s="403"/>
      <c r="S20" s="403"/>
      <c r="T20" s="403"/>
      <c r="U20" s="359">
        <v>1</v>
      </c>
      <c r="V20" s="359"/>
      <c r="W20" s="359"/>
      <c r="X20" s="413"/>
      <c r="Y20" s="406" t="s">
        <v>51</v>
      </c>
      <c r="Z20" s="407"/>
      <c r="AA20" s="407"/>
      <c r="AB20" s="407"/>
      <c r="AC20" s="359"/>
      <c r="AD20" s="359"/>
      <c r="AE20" s="359"/>
      <c r="AF20" s="359"/>
      <c r="AG20" s="359"/>
      <c r="AH20" s="403">
        <f t="shared" si="0"/>
        <v>0</v>
      </c>
      <c r="AI20" s="403"/>
      <c r="AJ20" s="613"/>
      <c r="AK20" s="613"/>
      <c r="AL20" s="613"/>
      <c r="AM20" s="614"/>
      <c r="AN20" s="358"/>
      <c r="AO20" s="359"/>
      <c r="AP20" s="359"/>
      <c r="AQ20" s="359"/>
      <c r="AR20" s="359"/>
      <c r="AS20" s="359"/>
      <c r="AT20" s="403" t="str">
        <f t="shared" si="3"/>
        <v/>
      </c>
      <c r="AU20" s="403"/>
      <c r="AV20" s="615"/>
      <c r="AW20" s="629"/>
      <c r="AX20" s="630"/>
      <c r="AY20" s="630"/>
      <c r="AZ20" s="630"/>
      <c r="BA20" s="630"/>
      <c r="BB20" s="631"/>
      <c r="BC20" s="232"/>
      <c r="BD20" s="137">
        <f t="shared" si="1"/>
        <v>0</v>
      </c>
      <c r="BE20" s="403" t="str">
        <f>IF(AW20="","",HLOOKUP(AW20,AssociatedRef!$AP$1:$BZ$123,LOOKUP($M$19,AssociatedRef!$AP$2:$AP$123,AssociatedRef!$AQ$2:$AQ$123),FALSE))</f>
        <v/>
      </c>
      <c r="BF20" s="403"/>
      <c r="BG20" s="24" t="s">
        <v>361</v>
      </c>
      <c r="BH20" s="23" t="str">
        <f t="shared" si="2"/>
        <v/>
      </c>
      <c r="BI20" s="635" t="s">
        <v>75</v>
      </c>
      <c r="BJ20" s="634"/>
      <c r="BK20" s="634"/>
      <c r="BL20" s="634"/>
      <c r="BM20" s="54" t="s">
        <v>76</v>
      </c>
      <c r="BN20" s="634" t="s">
        <v>11</v>
      </c>
      <c r="BO20" s="634"/>
      <c r="BP20" s="634" t="s">
        <v>77</v>
      </c>
      <c r="BQ20" s="634"/>
      <c r="BR20" s="634"/>
      <c r="BS20" s="634"/>
      <c r="BT20" s="636"/>
    </row>
    <row r="21" spans="1:72" ht="15.75" thickBot="1" x14ac:dyDescent="0.3">
      <c r="A21" s="406" t="s">
        <v>14</v>
      </c>
      <c r="B21" s="407"/>
      <c r="C21" s="407"/>
      <c r="D21" s="407"/>
      <c r="E21" s="359">
        <v>1</v>
      </c>
      <c r="F21" s="359"/>
      <c r="G21" s="359"/>
      <c r="H21" s="359"/>
      <c r="I21" s="359"/>
      <c r="J21" s="359"/>
      <c r="K21" s="359"/>
      <c r="L21" s="410"/>
      <c r="M21" s="439"/>
      <c r="N21" s="440"/>
      <c r="O21" s="440"/>
      <c r="P21" s="440"/>
      <c r="Q21" s="403" t="str">
        <f>IF(M17="select","Select Pantheon",LOOKUP(M17,PantheonList!A3:A15,PantheonList!E3:E15))</f>
        <v>Select Pantheon</v>
      </c>
      <c r="R21" s="403"/>
      <c r="S21" s="403"/>
      <c r="T21" s="403"/>
      <c r="U21" s="359">
        <v>1</v>
      </c>
      <c r="V21" s="359"/>
      <c r="W21" s="359"/>
      <c r="X21" s="413"/>
      <c r="Y21" s="406" t="s">
        <v>52</v>
      </c>
      <c r="Z21" s="407"/>
      <c r="AA21" s="407"/>
      <c r="AB21" s="407"/>
      <c r="AC21" s="359"/>
      <c r="AD21" s="359"/>
      <c r="AE21" s="359"/>
      <c r="AF21" s="359"/>
      <c r="AG21" s="359"/>
      <c r="AH21" s="403">
        <f t="shared" si="0"/>
        <v>0</v>
      </c>
      <c r="AI21" s="403"/>
      <c r="AJ21" s="613"/>
      <c r="AK21" s="613"/>
      <c r="AL21" s="613"/>
      <c r="AM21" s="614"/>
      <c r="AN21" s="358"/>
      <c r="AO21" s="359"/>
      <c r="AP21" s="359"/>
      <c r="AQ21" s="359"/>
      <c r="AR21" s="359"/>
      <c r="AS21" s="359"/>
      <c r="AT21" s="403" t="str">
        <f t="shared" si="3"/>
        <v/>
      </c>
      <c r="AU21" s="403"/>
      <c r="AV21" s="615"/>
      <c r="AW21" s="629"/>
      <c r="AX21" s="630"/>
      <c r="AY21" s="630"/>
      <c r="AZ21" s="630"/>
      <c r="BA21" s="630"/>
      <c r="BB21" s="631"/>
      <c r="BC21" s="232"/>
      <c r="BD21" s="137">
        <f t="shared" si="1"/>
        <v>0</v>
      </c>
      <c r="BE21" s="403" t="str">
        <f>IF(AW21="","",HLOOKUP(AW21,AssociatedRef!$AP$1:$BZ$123,LOOKUP($M$19,AssociatedRef!$AP$2:$AP$123,AssociatedRef!$AQ$2:$AQ$123),FALSE))</f>
        <v/>
      </c>
      <c r="BF21" s="403"/>
      <c r="BG21" s="24" t="s">
        <v>361</v>
      </c>
      <c r="BH21" s="23" t="str">
        <f t="shared" si="2"/>
        <v/>
      </c>
      <c r="BI21" s="631" t="s">
        <v>387</v>
      </c>
      <c r="BJ21" s="593"/>
      <c r="BK21" s="593"/>
      <c r="BL21" s="593"/>
      <c r="BM21" s="232"/>
      <c r="BN21" s="232"/>
      <c r="BO21" s="232"/>
      <c r="BP21" s="359"/>
      <c r="BQ21" s="359"/>
      <c r="BR21" s="359"/>
      <c r="BS21" s="359"/>
      <c r="BT21" s="410"/>
    </row>
    <row r="22" spans="1:72" x14ac:dyDescent="0.25">
      <c r="A22" s="406" t="s">
        <v>15</v>
      </c>
      <c r="B22" s="407"/>
      <c r="C22" s="407"/>
      <c r="D22" s="407"/>
      <c r="E22" s="593" t="s">
        <v>59</v>
      </c>
      <c r="F22" s="593"/>
      <c r="G22" s="593"/>
      <c r="H22" s="593"/>
      <c r="I22" s="649"/>
      <c r="J22" s="670"/>
      <c r="K22" s="670"/>
      <c r="L22" s="671"/>
      <c r="M22" s="406" t="s">
        <v>65</v>
      </c>
      <c r="N22" s="407"/>
      <c r="O22" s="403">
        <f>LARGE(U19:V22,1)+LARGE(U19:V22,2)</f>
        <v>2</v>
      </c>
      <c r="P22" s="447"/>
      <c r="Q22" s="403" t="str">
        <f>IF(M17="select","Select Pantheon",LOOKUP(M17,PantheonList!A3:A15,PantheonList!F3:F15))</f>
        <v>Select Pantheon</v>
      </c>
      <c r="R22" s="403"/>
      <c r="S22" s="403"/>
      <c r="T22" s="403"/>
      <c r="U22" s="359">
        <v>1</v>
      </c>
      <c r="V22" s="359"/>
      <c r="W22" s="359"/>
      <c r="X22" s="413"/>
      <c r="Y22" s="406" t="s">
        <v>53</v>
      </c>
      <c r="Z22" s="407"/>
      <c r="AA22" s="407"/>
      <c r="AB22" s="407"/>
      <c r="AC22" s="359"/>
      <c r="AD22" s="359"/>
      <c r="AE22" s="359"/>
      <c r="AF22" s="359"/>
      <c r="AG22" s="359"/>
      <c r="AH22" s="403">
        <f t="shared" si="0"/>
        <v>0</v>
      </c>
      <c r="AI22" s="403"/>
      <c r="AJ22" s="613"/>
      <c r="AK22" s="613"/>
      <c r="AL22" s="613"/>
      <c r="AM22" s="614"/>
      <c r="AN22" s="358"/>
      <c r="AO22" s="359"/>
      <c r="AP22" s="359"/>
      <c r="AQ22" s="359"/>
      <c r="AR22" s="359"/>
      <c r="AS22" s="359"/>
      <c r="AT22" s="403" t="str">
        <f t="shared" si="3"/>
        <v/>
      </c>
      <c r="AU22" s="403"/>
      <c r="AV22" s="615"/>
      <c r="AW22" s="629"/>
      <c r="AX22" s="630"/>
      <c r="AY22" s="630"/>
      <c r="AZ22" s="630"/>
      <c r="BA22" s="630"/>
      <c r="BB22" s="631"/>
      <c r="BC22" s="232"/>
      <c r="BD22" s="137">
        <f t="shared" si="1"/>
        <v>0</v>
      </c>
      <c r="BE22" s="403" t="str">
        <f>IF(AW22="","",HLOOKUP(AW22,AssociatedRef!$AP$1:$BZ$123,LOOKUP($M$19,AssociatedRef!$AP$2:$AP$123,AssociatedRef!$AQ$2:$AQ$123),FALSE))</f>
        <v/>
      </c>
      <c r="BF22" s="403"/>
      <c r="BG22" s="24" t="s">
        <v>361</v>
      </c>
      <c r="BH22" s="23" t="str">
        <f t="shared" si="2"/>
        <v/>
      </c>
      <c r="BI22" s="631" t="s">
        <v>387</v>
      </c>
      <c r="BJ22" s="593"/>
      <c r="BK22" s="593"/>
      <c r="BL22" s="593"/>
      <c r="BM22" s="232"/>
      <c r="BN22" s="232"/>
      <c r="BO22" s="232"/>
      <c r="BP22" s="359"/>
      <c r="BQ22" s="359"/>
      <c r="BR22" s="359"/>
      <c r="BS22" s="359"/>
      <c r="BT22" s="410"/>
    </row>
    <row r="23" spans="1:72" x14ac:dyDescent="0.25">
      <c r="A23" s="406" t="s">
        <v>32</v>
      </c>
      <c r="B23" s="407"/>
      <c r="C23" s="407"/>
      <c r="D23" s="407"/>
      <c r="E23" s="403" t="str">
        <f>IF(E22="primary",11-SUM(E19:H21),IF(E22="Secondary",9-SUM(E19:H21),IF(E22="Tertiary",7-SUM(E19:H21),"Select Priority")))</f>
        <v>Select Priority</v>
      </c>
      <c r="F23" s="403"/>
      <c r="G23" s="403"/>
      <c r="H23" s="403"/>
      <c r="I23" s="672"/>
      <c r="J23" s="673"/>
      <c r="K23" s="673"/>
      <c r="L23" s="674"/>
      <c r="M23" s="406" t="s">
        <v>11</v>
      </c>
      <c r="N23" s="407"/>
      <c r="O23" s="359"/>
      <c r="P23" s="413"/>
      <c r="Q23" s="609" t="s">
        <v>32</v>
      </c>
      <c r="R23" s="407"/>
      <c r="S23" s="407"/>
      <c r="T23" s="407"/>
      <c r="U23" s="447">
        <f>9-SUM(U19:V22)</f>
        <v>5</v>
      </c>
      <c r="V23" s="448"/>
      <c r="W23" s="448"/>
      <c r="X23" s="596"/>
      <c r="Y23" s="406" t="s">
        <v>54</v>
      </c>
      <c r="Z23" s="407"/>
      <c r="AA23" s="407"/>
      <c r="AB23" s="407"/>
      <c r="AC23" s="359"/>
      <c r="AD23" s="359"/>
      <c r="AE23" s="359"/>
      <c r="AF23" s="359"/>
      <c r="AG23" s="359"/>
      <c r="AH23" s="403">
        <f t="shared" si="0"/>
        <v>0</v>
      </c>
      <c r="AI23" s="403"/>
      <c r="AJ23" s="613"/>
      <c r="AK23" s="613"/>
      <c r="AL23" s="613"/>
      <c r="AM23" s="614"/>
      <c r="AN23" s="358"/>
      <c r="AO23" s="359"/>
      <c r="AP23" s="359"/>
      <c r="AQ23" s="359"/>
      <c r="AR23" s="359"/>
      <c r="AS23" s="359"/>
      <c r="AT23" s="403" t="str">
        <f t="shared" si="3"/>
        <v/>
      </c>
      <c r="AU23" s="403"/>
      <c r="AV23" s="615"/>
      <c r="AW23" s="629"/>
      <c r="AX23" s="630"/>
      <c r="AY23" s="630"/>
      <c r="AZ23" s="630"/>
      <c r="BA23" s="630"/>
      <c r="BB23" s="631"/>
      <c r="BC23" s="232"/>
      <c r="BD23" s="137">
        <f t="shared" si="1"/>
        <v>0</v>
      </c>
      <c r="BE23" s="403" t="str">
        <f>IF(AW23="","",HLOOKUP(AW23,AssociatedRef!$AP$1:$BZ$123,LOOKUP($M$19,AssociatedRef!$AP$2:$AP$123,AssociatedRef!$AQ$2:$AQ$123),FALSE))</f>
        <v/>
      </c>
      <c r="BF23" s="403"/>
      <c r="BG23" s="24" t="s">
        <v>361</v>
      </c>
      <c r="BH23" s="23" t="str">
        <f t="shared" si="2"/>
        <v/>
      </c>
      <c r="BI23" s="631" t="s">
        <v>387</v>
      </c>
      <c r="BJ23" s="593"/>
      <c r="BK23" s="593"/>
      <c r="BL23" s="593"/>
      <c r="BM23" s="232"/>
      <c r="BN23" s="232"/>
      <c r="BO23" s="232"/>
      <c r="BP23" s="359"/>
      <c r="BQ23" s="359"/>
      <c r="BR23" s="359"/>
      <c r="BS23" s="359"/>
      <c r="BT23" s="410"/>
    </row>
    <row r="24" spans="1:72" ht="15.75" thickBot="1" x14ac:dyDescent="0.3">
      <c r="A24" s="669"/>
      <c r="B24" s="448"/>
      <c r="C24" s="448"/>
      <c r="D24" s="448"/>
      <c r="E24" s="448"/>
      <c r="F24" s="448"/>
      <c r="G24" s="448"/>
      <c r="H24" s="448"/>
      <c r="I24" s="448"/>
      <c r="J24" s="448"/>
      <c r="K24" s="448"/>
      <c r="L24" s="596"/>
      <c r="M24" s="408" t="s">
        <v>28</v>
      </c>
      <c r="N24" s="402"/>
      <c r="O24" s="414">
        <f>SUM(O22:P23)</f>
        <v>2</v>
      </c>
      <c r="P24" s="650"/>
      <c r="Q24" s="446" t="s">
        <v>29</v>
      </c>
      <c r="R24" s="402"/>
      <c r="S24" s="402"/>
      <c r="T24" s="628"/>
      <c r="U24" s="650" t="str">
        <f>IF(U23=0,"Yes","No")</f>
        <v>No</v>
      </c>
      <c r="V24" s="665"/>
      <c r="W24" s="665"/>
      <c r="X24" s="666"/>
      <c r="Y24" s="610" t="s">
        <v>536</v>
      </c>
      <c r="Z24" s="611"/>
      <c r="AA24" s="611"/>
      <c r="AB24" s="612"/>
      <c r="AC24" s="359"/>
      <c r="AD24" s="359"/>
      <c r="AE24" s="359"/>
      <c r="AF24" s="359"/>
      <c r="AG24" s="359"/>
      <c r="AH24" s="403">
        <f t="shared" si="0"/>
        <v>0</v>
      </c>
      <c r="AI24" s="403"/>
      <c r="AJ24" s="359"/>
      <c r="AK24" s="359"/>
      <c r="AL24" s="359"/>
      <c r="AM24" s="410"/>
      <c r="AN24" s="358"/>
      <c r="AO24" s="359"/>
      <c r="AP24" s="359"/>
      <c r="AQ24" s="359"/>
      <c r="AR24" s="359"/>
      <c r="AS24" s="359"/>
      <c r="AT24" s="403" t="str">
        <f t="shared" si="3"/>
        <v/>
      </c>
      <c r="AU24" s="403"/>
      <c r="AV24" s="615"/>
      <c r="AW24" s="629"/>
      <c r="AX24" s="630"/>
      <c r="AY24" s="630"/>
      <c r="AZ24" s="630"/>
      <c r="BA24" s="630"/>
      <c r="BB24" s="631"/>
      <c r="BC24" s="232"/>
      <c r="BD24" s="137">
        <f t="shared" si="1"/>
        <v>0</v>
      </c>
      <c r="BE24" s="403" t="str">
        <f>IF(AW24="","",HLOOKUP(AW24,AssociatedRef!$AP$1:$BZ$123,LOOKUP($M$19,AssociatedRef!$AP$2:$AP$123,AssociatedRef!$AQ$2:$AQ$123),FALSE))</f>
        <v/>
      </c>
      <c r="BF24" s="403"/>
      <c r="BG24" s="24" t="s">
        <v>361</v>
      </c>
      <c r="BH24" s="23" t="str">
        <f t="shared" si="2"/>
        <v/>
      </c>
      <c r="BI24" s="629" t="s">
        <v>387</v>
      </c>
      <c r="BJ24" s="630"/>
      <c r="BK24" s="630"/>
      <c r="BL24" s="631"/>
      <c r="BM24" s="232"/>
      <c r="BN24" s="232"/>
      <c r="BO24" s="232"/>
      <c r="BP24" s="359"/>
      <c r="BQ24" s="359"/>
      <c r="BR24" s="359"/>
      <c r="BS24" s="359"/>
      <c r="BT24" s="410"/>
    </row>
    <row r="25" spans="1:72" x14ac:dyDescent="0.25">
      <c r="A25" s="406" t="s">
        <v>16</v>
      </c>
      <c r="B25" s="407"/>
      <c r="C25" s="407"/>
      <c r="D25" s="407"/>
      <c r="E25" s="359">
        <v>1</v>
      </c>
      <c r="F25" s="359"/>
      <c r="G25" s="359"/>
      <c r="H25" s="359"/>
      <c r="I25" s="359"/>
      <c r="J25" s="359"/>
      <c r="K25" s="359"/>
      <c r="L25" s="410"/>
      <c r="M25" s="436" t="s">
        <v>9</v>
      </c>
      <c r="N25" s="437"/>
      <c r="O25" s="437"/>
      <c r="P25" s="437"/>
      <c r="Q25" s="437"/>
      <c r="R25" s="437"/>
      <c r="S25" s="437"/>
      <c r="T25" s="437"/>
      <c r="U25" s="437"/>
      <c r="V25" s="437"/>
      <c r="W25" s="437"/>
      <c r="X25" s="438"/>
      <c r="Y25" s="610" t="s">
        <v>536</v>
      </c>
      <c r="Z25" s="611"/>
      <c r="AA25" s="611"/>
      <c r="AB25" s="612"/>
      <c r="AC25" s="359"/>
      <c r="AD25" s="359"/>
      <c r="AE25" s="359"/>
      <c r="AF25" s="359"/>
      <c r="AG25" s="359"/>
      <c r="AH25" s="403">
        <f t="shared" si="0"/>
        <v>0</v>
      </c>
      <c r="AI25" s="403"/>
      <c r="AJ25" s="359"/>
      <c r="AK25" s="359"/>
      <c r="AL25" s="359"/>
      <c r="AM25" s="410"/>
      <c r="AN25" s="358"/>
      <c r="AO25" s="359"/>
      <c r="AP25" s="359"/>
      <c r="AQ25" s="359"/>
      <c r="AR25" s="359"/>
      <c r="AS25" s="359"/>
      <c r="AT25" s="403" t="str">
        <f t="shared" si="3"/>
        <v/>
      </c>
      <c r="AU25" s="403"/>
      <c r="AV25" s="615"/>
      <c r="AW25" s="629"/>
      <c r="AX25" s="630"/>
      <c r="AY25" s="630"/>
      <c r="AZ25" s="630"/>
      <c r="BA25" s="630"/>
      <c r="BB25" s="631"/>
      <c r="BC25" s="232"/>
      <c r="BD25" s="137">
        <f t="shared" si="1"/>
        <v>0</v>
      </c>
      <c r="BE25" s="403" t="str">
        <f>IF(AW25="","",HLOOKUP(AW25,AssociatedRef!$AP$1:$BZ$123,LOOKUP($M$19,AssociatedRef!$AP$2:$AP$123,AssociatedRef!$AQ$2:$AQ$123),FALSE))</f>
        <v/>
      </c>
      <c r="BF25" s="403"/>
      <c r="BG25" s="24" t="s">
        <v>361</v>
      </c>
      <c r="BH25" s="23" t="str">
        <f t="shared" si="2"/>
        <v/>
      </c>
      <c r="BI25" s="629" t="s">
        <v>387</v>
      </c>
      <c r="BJ25" s="630"/>
      <c r="BK25" s="630"/>
      <c r="BL25" s="631"/>
      <c r="BM25" s="232"/>
      <c r="BN25" s="232"/>
      <c r="BO25" s="232"/>
      <c r="BP25" s="359"/>
      <c r="BQ25" s="359"/>
      <c r="BR25" s="359"/>
      <c r="BS25" s="359"/>
      <c r="BT25" s="410"/>
    </row>
    <row r="26" spans="1:72" ht="15.75" thickBot="1" x14ac:dyDescent="0.3">
      <c r="A26" s="406" t="s">
        <v>17</v>
      </c>
      <c r="B26" s="407"/>
      <c r="C26" s="407"/>
      <c r="D26" s="407"/>
      <c r="E26" s="359">
        <v>1</v>
      </c>
      <c r="F26" s="359"/>
      <c r="G26" s="359"/>
      <c r="H26" s="359"/>
      <c r="I26" s="359"/>
      <c r="J26" s="359"/>
      <c r="K26" s="359"/>
      <c r="L26" s="410"/>
      <c r="M26" s="439"/>
      <c r="N26" s="440"/>
      <c r="O26" s="440"/>
      <c r="P26" s="440"/>
      <c r="Q26" s="440"/>
      <c r="R26" s="440"/>
      <c r="S26" s="440"/>
      <c r="T26" s="440"/>
      <c r="U26" s="440"/>
      <c r="V26" s="440"/>
      <c r="W26" s="440"/>
      <c r="X26" s="441"/>
      <c r="Y26" s="610" t="s">
        <v>536</v>
      </c>
      <c r="Z26" s="611"/>
      <c r="AA26" s="611"/>
      <c r="AB26" s="612"/>
      <c r="AC26" s="359"/>
      <c r="AD26" s="359"/>
      <c r="AE26" s="359"/>
      <c r="AF26" s="359"/>
      <c r="AG26" s="359"/>
      <c r="AH26" s="403">
        <f t="shared" si="0"/>
        <v>0</v>
      </c>
      <c r="AI26" s="403"/>
      <c r="AJ26" s="359"/>
      <c r="AK26" s="359"/>
      <c r="AL26" s="359"/>
      <c r="AM26" s="410"/>
      <c r="AN26" s="358"/>
      <c r="AO26" s="359"/>
      <c r="AP26" s="359"/>
      <c r="AQ26" s="359"/>
      <c r="AR26" s="359"/>
      <c r="AS26" s="359"/>
      <c r="AT26" s="403" t="str">
        <f t="shared" si="3"/>
        <v/>
      </c>
      <c r="AU26" s="403"/>
      <c r="AV26" s="615"/>
      <c r="AW26" s="629"/>
      <c r="AX26" s="630"/>
      <c r="AY26" s="630"/>
      <c r="AZ26" s="630"/>
      <c r="BA26" s="630"/>
      <c r="BB26" s="631"/>
      <c r="BC26" s="232"/>
      <c r="BD26" s="137">
        <f t="shared" si="1"/>
        <v>0</v>
      </c>
      <c r="BE26" s="403" t="str">
        <f>IF(AW26="","",HLOOKUP(AW26,AssociatedRef!$AP$1:$BZ$123,LOOKUP($M$19,AssociatedRef!$AP$2:$AP$123,AssociatedRef!$AQ$2:$AQ$123),FALSE))</f>
        <v/>
      </c>
      <c r="BF26" s="403"/>
      <c r="BG26" s="24" t="s">
        <v>361</v>
      </c>
      <c r="BH26" s="23" t="str">
        <f t="shared" si="2"/>
        <v/>
      </c>
      <c r="BI26" s="629" t="s">
        <v>387</v>
      </c>
      <c r="BJ26" s="630"/>
      <c r="BK26" s="630"/>
      <c r="BL26" s="631"/>
      <c r="BM26" s="232"/>
      <c r="BN26" s="232"/>
      <c r="BO26" s="232"/>
      <c r="BP26" s="359"/>
      <c r="BQ26" s="359"/>
      <c r="BR26" s="359"/>
      <c r="BS26" s="359"/>
      <c r="BT26" s="410"/>
    </row>
    <row r="27" spans="1:72" x14ac:dyDescent="0.25">
      <c r="A27" s="406" t="s">
        <v>18</v>
      </c>
      <c r="B27" s="407"/>
      <c r="C27" s="407"/>
      <c r="D27" s="407"/>
      <c r="E27" s="359">
        <v>1</v>
      </c>
      <c r="F27" s="359"/>
      <c r="G27" s="359"/>
      <c r="H27" s="359"/>
      <c r="I27" s="359"/>
      <c r="J27" s="359"/>
      <c r="K27" s="359"/>
      <c r="L27" s="410"/>
      <c r="M27" s="494"/>
      <c r="N27" s="403"/>
      <c r="O27" s="403"/>
      <c r="P27" s="403"/>
      <c r="Q27" s="407" t="s">
        <v>12</v>
      </c>
      <c r="R27" s="407"/>
      <c r="S27" s="407"/>
      <c r="T27" s="407"/>
      <c r="U27" s="407" t="s">
        <v>10</v>
      </c>
      <c r="V27" s="407"/>
      <c r="W27" s="407"/>
      <c r="X27" s="595"/>
      <c r="Y27" s="610" t="s">
        <v>536</v>
      </c>
      <c r="Z27" s="611"/>
      <c r="AA27" s="611"/>
      <c r="AB27" s="612"/>
      <c r="AC27" s="359"/>
      <c r="AD27" s="359"/>
      <c r="AE27" s="359"/>
      <c r="AF27" s="359"/>
      <c r="AG27" s="359"/>
      <c r="AH27" s="403">
        <f t="shared" si="0"/>
        <v>0</v>
      </c>
      <c r="AI27" s="403"/>
      <c r="AJ27" s="359"/>
      <c r="AK27" s="359"/>
      <c r="AL27" s="359"/>
      <c r="AM27" s="410"/>
      <c r="AN27" s="358"/>
      <c r="AO27" s="359"/>
      <c r="AP27" s="359"/>
      <c r="AQ27" s="359"/>
      <c r="AR27" s="359"/>
      <c r="AS27" s="359"/>
      <c r="AT27" s="403" t="str">
        <f t="shared" si="3"/>
        <v/>
      </c>
      <c r="AU27" s="403"/>
      <c r="AV27" s="615"/>
      <c r="AW27" s="629"/>
      <c r="AX27" s="630"/>
      <c r="AY27" s="630"/>
      <c r="AZ27" s="630"/>
      <c r="BA27" s="630"/>
      <c r="BB27" s="631"/>
      <c r="BC27" s="232"/>
      <c r="BD27" s="137">
        <f t="shared" si="1"/>
        <v>0</v>
      </c>
      <c r="BE27" s="403" t="str">
        <f>IF(AW27="","",HLOOKUP(AW27,AssociatedRef!$AP$1:$BZ$123,LOOKUP($M$19,AssociatedRef!$AP$2:$AP$123,AssociatedRef!$AQ$2:$AQ$123),FALSE))</f>
        <v/>
      </c>
      <c r="BF27" s="403"/>
      <c r="BG27" s="24" t="s">
        <v>361</v>
      </c>
      <c r="BH27" s="23" t="str">
        <f t="shared" si="2"/>
        <v/>
      </c>
      <c r="BI27" s="629" t="s">
        <v>387</v>
      </c>
      <c r="BJ27" s="630"/>
      <c r="BK27" s="630"/>
      <c r="BL27" s="631"/>
      <c r="BM27" s="232"/>
      <c r="BN27" s="232"/>
      <c r="BO27" s="232"/>
      <c r="BP27" s="359"/>
      <c r="BQ27" s="359"/>
      <c r="BR27" s="359"/>
      <c r="BS27" s="359"/>
      <c r="BT27" s="410"/>
    </row>
    <row r="28" spans="1:72" x14ac:dyDescent="0.25">
      <c r="A28" s="406" t="s">
        <v>15</v>
      </c>
      <c r="B28" s="407"/>
      <c r="C28" s="407"/>
      <c r="D28" s="407"/>
      <c r="E28" s="593" t="s">
        <v>59</v>
      </c>
      <c r="F28" s="593"/>
      <c r="G28" s="593"/>
      <c r="H28" s="593"/>
      <c r="I28" s="649"/>
      <c r="J28" s="670"/>
      <c r="K28" s="670"/>
      <c r="L28" s="671"/>
      <c r="M28" s="406" t="s">
        <v>22</v>
      </c>
      <c r="N28" s="407"/>
      <c r="O28" s="407"/>
      <c r="P28" s="407"/>
      <c r="Q28" s="403" t="str">
        <f>IF(M19="select","Select God",LOOKUP(M19,PantheonList!A18:A149,PantheonList!B18:B149))</f>
        <v>Select God</v>
      </c>
      <c r="R28" s="403"/>
      <c r="S28" s="403"/>
      <c r="T28" s="403"/>
      <c r="U28" s="403">
        <f>IF(Q28=Y4,AC4,IF(Q28=Y5,AC5,IF(Q28=Y6,AC6,IF(Q28=Y7,AC7,IF(Q28=Y8,AC8,IF(Q28=Y9,AC9,IF(Q28=Y10,AC10,IF(Q28=Y11,AC11,IF(Q28=Y12,AC12,IF(Q28=Y13,AC13,IF(Q28=Y14,AC14,IF(Q28=Y15,AC15,IF(Q28=Y16,AC16,IF(Q28=Y17,AC17,IF(Q28=Y18,AC18,IF(Q28=Y19,AC19,IF(Q28=Y20,AC20,IF(Q28=Y21,AC21,IF(Q28=Y22,AC22,IF(Q28=Y23,AC23,IF(Q28="Art",SUM(IF(Y24="Art",AC24,0),IF(Y25="art",AC25,0),IF(Y26="art",AC26,0),IF(Y27="art",AC27,0),IF(Y28="art",AC28,0),IF(Y29="art",AC29,0),IF(Y30="art",AC30,0),IF(Y31="art",AC31,0),IF(Y32="art",AC32,0),IF(Y33="art",AC33,0)),IF(Q28="Control",SUM(IF(Y24="Control",AC24,0),IF(Y25="control",AC25,0),IF(Y26="control",AC26,0),IF(Y27="control",AC27,0),IF(Y28="control",AC28,0),IF(Y29="control",AC29,0),IF(Y30="control",AC30,0),IF(Y31="control",AC31,0),IF(Y32="control",AC32,0),IF(Y33="control",AC33,0)),IF(Q28="Craft",SUM(IF(Y24="Craft",AC24,0),IF(Y25="craft",AC25,0),IF(Y26="craft",AC26,0),IF(Y27="craft",AC27,0),IF(Y28="craft",AC28,0),IF(Y29="craft",AC29,0),IF(Y30="craft",AC30,0),IF(Y31="craft",AC31,0),IF(Y32="craft",AC32,0),IF(Y33="craft",AC33,0)),IF(Q28="Science",SUM(IF(Y24="Science",AC24,0),IF(Y25="science",AC25,0),IF(Y26="science",AC26,0),IF(Y27="science",AC27,0),IF(Y28="science",AC28,0),IF(Y29="science",AC29,0),IF(Y30="science",AC30,0),IF(Y31="science",AC31,0),IF(Y32="science",AC32,0),IF(Y33="science",AC33,0)),0))))))))))))))))))))))))</f>
        <v>0</v>
      </c>
      <c r="V28" s="403"/>
      <c r="W28" s="403"/>
      <c r="X28" s="447"/>
      <c r="Y28" s="610" t="s">
        <v>536</v>
      </c>
      <c r="Z28" s="611"/>
      <c r="AA28" s="611"/>
      <c r="AB28" s="612"/>
      <c r="AC28" s="359"/>
      <c r="AD28" s="359"/>
      <c r="AE28" s="359"/>
      <c r="AF28" s="359"/>
      <c r="AG28" s="359"/>
      <c r="AH28" s="403">
        <f t="shared" si="0"/>
        <v>0</v>
      </c>
      <c r="AI28" s="403"/>
      <c r="AJ28" s="359"/>
      <c r="AK28" s="359"/>
      <c r="AL28" s="359"/>
      <c r="AM28" s="410"/>
      <c r="AN28" s="358"/>
      <c r="AO28" s="359"/>
      <c r="AP28" s="359"/>
      <c r="AQ28" s="359"/>
      <c r="AR28" s="359"/>
      <c r="AS28" s="359"/>
      <c r="AT28" s="403" t="str">
        <f t="shared" si="3"/>
        <v/>
      </c>
      <c r="AU28" s="403"/>
      <c r="AV28" s="615"/>
      <c r="AW28" s="629"/>
      <c r="AX28" s="630"/>
      <c r="AY28" s="630"/>
      <c r="AZ28" s="630"/>
      <c r="BA28" s="630"/>
      <c r="BB28" s="631"/>
      <c r="BC28" s="232"/>
      <c r="BD28" s="137">
        <f t="shared" si="1"/>
        <v>0</v>
      </c>
      <c r="BE28" s="403" t="str">
        <f>IF(AW28="","",HLOOKUP(AW28,AssociatedRef!$AP$1:$BZ$123,LOOKUP($M$19,AssociatedRef!$AP$2:$AP$123,AssociatedRef!$AQ$2:$AQ$123),FALSE))</f>
        <v/>
      </c>
      <c r="BF28" s="403"/>
      <c r="BG28" s="24" t="s">
        <v>361</v>
      </c>
      <c r="BH28" s="23" t="str">
        <f t="shared" si="2"/>
        <v/>
      </c>
      <c r="BI28" s="629" t="s">
        <v>387</v>
      </c>
      <c r="BJ28" s="630"/>
      <c r="BK28" s="630"/>
      <c r="BL28" s="631"/>
      <c r="BM28" s="232"/>
      <c r="BN28" s="232"/>
      <c r="BO28" s="232"/>
      <c r="BP28" s="359"/>
      <c r="BQ28" s="359"/>
      <c r="BR28" s="359"/>
      <c r="BS28" s="359"/>
      <c r="BT28" s="410"/>
    </row>
    <row r="29" spans="1:72" x14ac:dyDescent="0.25">
      <c r="A29" s="406" t="s">
        <v>32</v>
      </c>
      <c r="B29" s="407"/>
      <c r="C29" s="407"/>
      <c r="D29" s="407"/>
      <c r="E29" s="403" t="str">
        <f>IF(E28="primary",11-SUM(E25:H27),IF(E28="Secondary",9-SUM(E25:H27),IF(E28="Tertiary",7-SUM(E25:H27),"Select Priority")))</f>
        <v>Select Priority</v>
      </c>
      <c r="F29" s="403"/>
      <c r="G29" s="403"/>
      <c r="H29" s="403"/>
      <c r="I29" s="672"/>
      <c r="J29" s="673"/>
      <c r="K29" s="673"/>
      <c r="L29" s="674"/>
      <c r="M29" s="406" t="s">
        <v>23</v>
      </c>
      <c r="N29" s="407"/>
      <c r="O29" s="407"/>
      <c r="P29" s="407"/>
      <c r="Q29" s="403" t="str">
        <f>IF(M19="select","Select God",LOOKUP(M19,PantheonList!A18:A149,PantheonList!C18:C149))</f>
        <v>Select God</v>
      </c>
      <c r="R29" s="403"/>
      <c r="S29" s="403"/>
      <c r="T29" s="403"/>
      <c r="U29" s="403">
        <f>IF(Q29=Y4,AC4,IF(Q29=Y5,AC5,IF(Q29=Y6,AC6,IF(Q29=Y7,AC7,IF(Q29=Y8,AC8,IF(Q29=Y9,AC9,IF(Q29=Y10,AC10,IF(Q29=Y11,AC11,IF(Q29=Y12,AC12,IF(Q29=Y13,AC13,IF(Q29=Y14,AC14,IF(Q29=Y15,AC15,IF(Q29=Y16,AC16,IF(Q29=Y17,AC17,IF(Q29=Y18,AC18,IF(Q29=Y19,AC19,IF(Q29=Y20,AC20,IF(Q29=Y21,AC21,IF(Q29=Y22,AC22,IF(Q29=Y23,AC23,IF(Q29="Art",SUM(IF(Y24="Art",AC24,0),IF(Y25="art",AC25,0),IF(Y26="art",AC26,0),IF(Y27="art",AC27,0),IF(Y28="art",AC28,0),IF(Y29="art",AC29,0),IF(Y30="art",AC30,0),IF(Y31="art",AC31,0),IF(Y32="art",AC32,0),IF(Y33="art",AC33,0)),IF(Q29="Control",SUM(IF(Y24="Control",AC24,0),IF(Y25="control",AC25,0),IF(Y26="control",AC26,0),IF(Y27="control",AC27,0),IF(Y28="control",AC28,0),IF(Y29="control",AC29,0),IF(Y30="control",AC30,0),IF(Y31="control",AC31,0),IF(Y32="control",AC32,0),IF(Y33="control",AC33,0)),IF(Q29="Craft",SUM(IF(Y24="Craft",AC24,0),IF(Y25="craft",AC25,0),IF(Y26="craft",AC26,0),IF(Y27="craft",AC27,0),IF(Y28="craft",AC28,0),IF(Y29="craft",AC29,0),IF(Y30="craft",AC30,0),IF(Y31="craft",AC31,0),IF(Y32="craft",AC32,0),IF(Y33="craft",AC33,0)),IF(Q29="Science",SUM(IF(Y24="Science",AC24,0),IF(Y25="science",AC25,0),IF(Y26="science",AC26,0),IF(Y27="science",AC27,0),IF(Y28="science",AC28,0),IF(Y29="science",AC29,0),IF(Y30="science",AC30,0),IF(Y31="science",AC31,0),IF(Y32="science",AC32,0),IF(Y33="science",AC33,0)),0))))))))))))))))))))))))</f>
        <v>0</v>
      </c>
      <c r="V29" s="403"/>
      <c r="W29" s="403"/>
      <c r="X29" s="447"/>
      <c r="Y29" s="610" t="s">
        <v>536</v>
      </c>
      <c r="Z29" s="611"/>
      <c r="AA29" s="611"/>
      <c r="AB29" s="612"/>
      <c r="AC29" s="359"/>
      <c r="AD29" s="359"/>
      <c r="AE29" s="359"/>
      <c r="AF29" s="359"/>
      <c r="AG29" s="359"/>
      <c r="AH29" s="403">
        <f t="shared" si="0"/>
        <v>0</v>
      </c>
      <c r="AI29" s="403"/>
      <c r="AJ29" s="359"/>
      <c r="AK29" s="359"/>
      <c r="AL29" s="359"/>
      <c r="AM29" s="410"/>
      <c r="AN29" s="358"/>
      <c r="AO29" s="359"/>
      <c r="AP29" s="359"/>
      <c r="AQ29" s="359"/>
      <c r="AR29" s="359"/>
      <c r="AS29" s="359"/>
      <c r="AT29" s="403" t="str">
        <f t="shared" si="3"/>
        <v/>
      </c>
      <c r="AU29" s="403"/>
      <c r="AV29" s="615"/>
      <c r="AW29" s="629"/>
      <c r="AX29" s="630"/>
      <c r="AY29" s="630"/>
      <c r="AZ29" s="630"/>
      <c r="BA29" s="630"/>
      <c r="BB29" s="631"/>
      <c r="BC29" s="232"/>
      <c r="BD29" s="137">
        <f t="shared" si="1"/>
        <v>0</v>
      </c>
      <c r="BE29" s="403" t="str">
        <f>IF(AW29="","",HLOOKUP(AW29,AssociatedRef!$AP$1:$BZ$123,LOOKUP($M$19,AssociatedRef!$AP$2:$AP$123,AssociatedRef!$AQ$2:$AQ$123),FALSE))</f>
        <v/>
      </c>
      <c r="BF29" s="403"/>
      <c r="BG29" s="24" t="s">
        <v>361</v>
      </c>
      <c r="BH29" s="23" t="str">
        <f t="shared" si="2"/>
        <v/>
      </c>
      <c r="BI29" s="629" t="s">
        <v>387</v>
      </c>
      <c r="BJ29" s="630"/>
      <c r="BK29" s="630"/>
      <c r="BL29" s="631"/>
      <c r="BM29" s="232"/>
      <c r="BN29" s="232"/>
      <c r="BO29" s="232"/>
      <c r="BP29" s="359"/>
      <c r="BQ29" s="359"/>
      <c r="BR29" s="359"/>
      <c r="BS29" s="359"/>
      <c r="BT29" s="410"/>
    </row>
    <row r="30" spans="1:72" x14ac:dyDescent="0.25">
      <c r="A30" s="669"/>
      <c r="B30" s="448"/>
      <c r="C30" s="448"/>
      <c r="D30" s="448"/>
      <c r="E30" s="448"/>
      <c r="F30" s="448"/>
      <c r="G30" s="448"/>
      <c r="H30" s="448"/>
      <c r="I30" s="448"/>
      <c r="J30" s="448"/>
      <c r="K30" s="448"/>
      <c r="L30" s="596"/>
      <c r="M30" s="406" t="s">
        <v>24</v>
      </c>
      <c r="N30" s="407"/>
      <c r="O30" s="407"/>
      <c r="P30" s="407"/>
      <c r="Q30" s="403" t="str">
        <f>IF(M19="select","Select God",LOOKUP(M19,PantheonList!A18:A149,PantheonList!D18:D149))</f>
        <v>Select God</v>
      </c>
      <c r="R30" s="403"/>
      <c r="S30" s="403"/>
      <c r="T30" s="403"/>
      <c r="U30" s="447">
        <f>IF(Q30=Y4,AC4,IF(Q30=Y5,AC5,IF(Q30=Y6,AC6,IF(Q30=Y7,AC7,IF(Q30=Y8,AC8,IF(Q30=Y9,AC9,IF(Q30=Y10,AC10,IF(Q30=Y11,AC11,IF(Q30=Y12,AC12,IF(Q30=Y13,AC13,IF(Q30=Y14,AC14,IF(Q30=Y15,AC15,IF(Q30=Y16,AC16,IF(Q30=Y17,AC17,IF(Q30=Y18,AC18,IF(Q30=Y19,AC19,IF(Q30=Y20,AC20,IF(Q30=Y21,AC21,IF(Q30=Y22,AC22,IF(Q30=Y23,AC23,IF(Q30="Art",SUM(IF(Y24="Art",AC24,0),IF(Y25="art",AC25,0),IF(Y26="art",AC26,0),IF(Y27="art",AC27,0),IF(Y28="art",AC28,0),IF(Y29="art",AC29,0),IF(Y30="art",AC30,0),IF(Y31="art",AC31,0),IF(Y32="art",AC32,0),IF(Y33="art",AC33,0)),IF(Q30="Control",SUM(IF(Y24="Control",AC24,0),IF(Y25="control",AC25,0),IF(Y26="control",AC26,0),IF(Y27="control",AC27,0),IF(Y28="control",AC28,0),IF(Y29="control",AC29,0),IF(Y30="control",AC30,0),IF(Y31="control",AC31,0),IF(Y32="control",AC32,0),IF(Y33="control",AC33,0)),IF(Q30="Craft",SUM(IF(Y24="Craft",AC24,0),IF(Y25="craft",AC25,0),IF(Y26="craft",AC26,0),IF(Y27="craft",AC27,0),IF(Y28="craft",AC28,0),IF(Y29="craft",AC29,0),IF(Y30="craft",AC30,0),IF(Y31="craft",AC31,0),IF(Y32="craft",AC32,0),IF(Y33="craft",AC33,0)),IF(Q30="Science",SUM(IF(Y24="Science",AC24,0),IF(Y25="science",AC25,0),IF(Y26="science",AC26,0),IF(Y27="science",AC27,0),IF(Y28="science",AC28,0),IF(Y29="science",AC29,0),IF(Y30="science",AC30,0),IF(Y31="science",AC31,0),IF(Y32="science",AC32,0),IF(Y33="science",AC33,0)),0))))))))))))))))))))))))</f>
        <v>0</v>
      </c>
      <c r="V30" s="448"/>
      <c r="W30" s="448"/>
      <c r="X30" s="596"/>
      <c r="Y30" s="610" t="s">
        <v>536</v>
      </c>
      <c r="Z30" s="611"/>
      <c r="AA30" s="611"/>
      <c r="AB30" s="612"/>
      <c r="AC30" s="359"/>
      <c r="AD30" s="359"/>
      <c r="AE30" s="359"/>
      <c r="AF30" s="359"/>
      <c r="AG30" s="359"/>
      <c r="AH30" s="403">
        <f t="shared" si="0"/>
        <v>0</v>
      </c>
      <c r="AI30" s="403"/>
      <c r="AJ30" s="359"/>
      <c r="AK30" s="359"/>
      <c r="AL30" s="359"/>
      <c r="AM30" s="410"/>
      <c r="AN30" s="358"/>
      <c r="AO30" s="359"/>
      <c r="AP30" s="359"/>
      <c r="AQ30" s="359"/>
      <c r="AR30" s="359"/>
      <c r="AS30" s="359"/>
      <c r="AT30" s="403" t="str">
        <f t="shared" si="3"/>
        <v/>
      </c>
      <c r="AU30" s="403"/>
      <c r="AV30" s="615"/>
      <c r="AW30" s="629"/>
      <c r="AX30" s="630"/>
      <c r="AY30" s="630"/>
      <c r="AZ30" s="630"/>
      <c r="BA30" s="630"/>
      <c r="BB30" s="631"/>
      <c r="BC30" s="232"/>
      <c r="BD30" s="137">
        <f t="shared" si="1"/>
        <v>0</v>
      </c>
      <c r="BE30" s="403" t="str">
        <f>IF(AW30="","",HLOOKUP(AW30,AssociatedRef!$AP$1:$BZ$123,LOOKUP($M$19,AssociatedRef!$AP$2:$AP$123,AssociatedRef!$AQ$2:$AQ$123),FALSE))</f>
        <v/>
      </c>
      <c r="BF30" s="403"/>
      <c r="BG30" s="24" t="s">
        <v>361</v>
      </c>
      <c r="BH30" s="23" t="str">
        <f t="shared" si="2"/>
        <v/>
      </c>
      <c r="BI30" s="629" t="s">
        <v>387</v>
      </c>
      <c r="BJ30" s="630"/>
      <c r="BK30" s="630"/>
      <c r="BL30" s="631"/>
      <c r="BM30" s="232"/>
      <c r="BN30" s="232"/>
      <c r="BO30" s="232"/>
      <c r="BP30" s="359"/>
      <c r="BQ30" s="359"/>
      <c r="BR30" s="359"/>
      <c r="BS30" s="359"/>
      <c r="BT30" s="410"/>
    </row>
    <row r="31" spans="1:72" x14ac:dyDescent="0.25">
      <c r="A31" s="406" t="s">
        <v>19</v>
      </c>
      <c r="B31" s="407"/>
      <c r="C31" s="407"/>
      <c r="D31" s="407"/>
      <c r="E31" s="359">
        <v>1</v>
      </c>
      <c r="F31" s="359"/>
      <c r="G31" s="359"/>
      <c r="H31" s="359"/>
      <c r="I31" s="359"/>
      <c r="J31" s="359"/>
      <c r="K31" s="359"/>
      <c r="L31" s="410"/>
      <c r="M31" s="406" t="s">
        <v>25</v>
      </c>
      <c r="N31" s="407"/>
      <c r="O31" s="407"/>
      <c r="P31" s="407"/>
      <c r="Q31" s="403" t="str">
        <f>IF(M19="select","Select God",LOOKUP(M19,PantheonList!A18:A149,PantheonList!E18:E149))</f>
        <v>Select God</v>
      </c>
      <c r="R31" s="403"/>
      <c r="S31" s="403"/>
      <c r="T31" s="403"/>
      <c r="U31" s="403">
        <f>IF(Q31=Y4,AC4,IF(Q31=Y5,AC5,IF(Q31=Y6,AC6,IF(Q31=Y7,AC7,IF(Q31=Y8,AC8,IF(Q31=Y9,AC9,IF(Q31=Y10,AC10,IF(Q31=Y11,AC11,IF(Q31=Y12,AC12,IF(Q31=Y13,AC13,IF(Q31=Y14,AC14,IF(Q31=Y15,AC15,IF(Q31=Y16,AC16,IF(Q31=Y17,AC17,IF(Q31=Y18,AC18,IF(Q31=Y19,AC19,IF(Q31=Y20,AC20,IF(Q31=Y21,AC21,IF(Q31=Y22,AC22,IF(Q31=Y23,AC23,IF(Q31="Art",SUM(IF(Y24="Art",AC24,0),IF(Y25="art",AC25,0),IF(Y26="art",AC26,0),IF(Y27="art",AC27,0),IF(Y28="art",AC28,0),IF(Y29="art",AC29,0),IF(Y30="art",AC30,0),IF(Y31="art",AC31,0),IF(Y32="art",AC32,0),IF(Y33="art",AC33,0)),IF(Q31="Control",SUM(IF(Y24="Control",AC24,0),IF(Y25="control",AC25,0),IF(Y26="control",AC26,0),IF(Y27="control",AC27,0),IF(Y28="control",AC28,0),IF(Y29="control",AC29,0),IF(Y30="control",AC30,0),IF(Y31="control",AC31,0),IF(Y32="control",AC32,0),IF(Y33="control",AC33,0)),IF(Q31="Craft",SUM(IF(Y24="Craft",AC24,0),IF(Y25="craft",AC25,0),IF(Y26="craft",AC26,0),IF(Y27="craft",AC27,0),IF(Y28="craft",AC28,0),IF(Y29="craft",AC29,0),IF(Y30="craft",AC30,0),IF(Y31="craft",AC31,0),IF(Y32="craft",AC32,0),IF(Y33="craft",AC33,0)),IF(Q31="Science",SUM(IF(Y24="Science",AC24,0),IF(Y25="science",AC25,0),IF(Y26="science",AC26,0),IF(Y27="science",AC27,0),IF(Y28="science",AC28,0),IF(Y29="science",AC29,0),IF(Y30="science",AC30,0),IF(Y31="science",AC31,0),IF(Y32="science",AC32,0),IF(Y33="science",AC33,0)),0))))))))))))))))))))))))</f>
        <v>0</v>
      </c>
      <c r="V31" s="403"/>
      <c r="W31" s="403"/>
      <c r="X31" s="447"/>
      <c r="Y31" s="610" t="s">
        <v>536</v>
      </c>
      <c r="Z31" s="611"/>
      <c r="AA31" s="611"/>
      <c r="AB31" s="612"/>
      <c r="AC31" s="359"/>
      <c r="AD31" s="359"/>
      <c r="AE31" s="359"/>
      <c r="AF31" s="359"/>
      <c r="AG31" s="359"/>
      <c r="AH31" s="403">
        <f t="shared" si="0"/>
        <v>0</v>
      </c>
      <c r="AI31" s="403"/>
      <c r="AJ31" s="359"/>
      <c r="AK31" s="359"/>
      <c r="AL31" s="359"/>
      <c r="AM31" s="410"/>
      <c r="AN31" s="358"/>
      <c r="AO31" s="359"/>
      <c r="AP31" s="359"/>
      <c r="AQ31" s="359"/>
      <c r="AR31" s="359"/>
      <c r="AS31" s="359"/>
      <c r="AT31" s="403" t="str">
        <f t="shared" si="3"/>
        <v/>
      </c>
      <c r="AU31" s="403"/>
      <c r="AV31" s="615"/>
      <c r="AW31" s="629"/>
      <c r="AX31" s="630"/>
      <c r="AY31" s="630"/>
      <c r="AZ31" s="630"/>
      <c r="BA31" s="630"/>
      <c r="BB31" s="631"/>
      <c r="BC31" s="232"/>
      <c r="BD31" s="137">
        <f t="shared" si="1"/>
        <v>0</v>
      </c>
      <c r="BE31" s="403" t="str">
        <f>IF(AW31="","",HLOOKUP(AW31,AssociatedRef!$AP$1:$BZ$123,LOOKUP($M$19,AssociatedRef!$AP$2:$AP$123,AssociatedRef!$AQ$2:$AQ$123),FALSE))</f>
        <v/>
      </c>
      <c r="BF31" s="403"/>
      <c r="BG31" s="24" t="s">
        <v>361</v>
      </c>
      <c r="BH31" s="23" t="str">
        <f t="shared" si="2"/>
        <v/>
      </c>
      <c r="BI31" s="629" t="s">
        <v>387</v>
      </c>
      <c r="BJ31" s="630"/>
      <c r="BK31" s="630"/>
      <c r="BL31" s="631"/>
      <c r="BM31" s="232"/>
      <c r="BN31" s="232"/>
      <c r="BO31" s="232"/>
      <c r="BP31" s="359"/>
      <c r="BQ31" s="359"/>
      <c r="BR31" s="359"/>
      <c r="BS31" s="359"/>
      <c r="BT31" s="410"/>
    </row>
    <row r="32" spans="1:72" x14ac:dyDescent="0.25">
      <c r="A32" s="406" t="s">
        <v>20</v>
      </c>
      <c r="B32" s="407"/>
      <c r="C32" s="407"/>
      <c r="D32" s="407"/>
      <c r="E32" s="359">
        <v>1</v>
      </c>
      <c r="F32" s="359"/>
      <c r="G32" s="359"/>
      <c r="H32" s="359"/>
      <c r="I32" s="359"/>
      <c r="J32" s="359"/>
      <c r="K32" s="359"/>
      <c r="L32" s="410"/>
      <c r="M32" s="406" t="s">
        <v>26</v>
      </c>
      <c r="N32" s="407"/>
      <c r="O32" s="407"/>
      <c r="P32" s="407"/>
      <c r="Q32" s="403" t="str">
        <f>IF(M19="select","Select God",LOOKUP(M19,PantheonList!A18:A149,PantheonList!F18:F149))</f>
        <v>Select God</v>
      </c>
      <c r="R32" s="403"/>
      <c r="S32" s="403"/>
      <c r="T32" s="403"/>
      <c r="U32" s="403">
        <f>IF(Q32=Y4,AC4,IF(Q32=Y5,AC5,IF(Q32=Y6,AC6,IF(Q32=Y7,AC7,IF(Q32=Y8,AC8,IF(Q32=Y9,AC9,IF(Q32=Y10,AC10,IF(Q32=Y11,AC11,IF(Q32=Y12,AC12,IF(Q32=Y13,AC13,IF(Q32=Y14,AC14,IF(Q32=Y15,AC15,IF(Q32=Y16,AC16,IF(Q32=Y17,AC17,IF(Q32=Y18,AC18,IF(Q32=Y19,AC19,IF(Q32=Y20,AC20,IF(Q32=Y21,AC21,IF(Q32=Y22,AC22,IF(Q32=Y23,AC23,IF(Q32="Art",SUM(IF(Y24="Art",AC24,0),IF(Y25="art",AC25,0),IF(Y26="art",AC26,0),IF(Y27="art",AC27,0),IF(Y28="art",AC28,0),IF(Y29="art",AC29,0),IF(Y30="art",AC30,0),IF(Y31="art",AC31,0),IF(Y32="art",AC32,0),IF(Y33="art",AC33,0)),IF(Q32="Control",SUM(IF(Y24="Control",AC24,0),IF(Y25="control",AC25,0),IF(Y26="control",AC26,0),IF(Y27="control",AC27,0),IF(Y28="control",AC28,0),IF(Y29="control",AC29,0),IF(Y30="control",AC30,0),IF(Y31="control",AC31,0),IF(Y32="control",AC32,0),IF(Y33="control",AC33,0)),IF(Q32="Craft",SUM(IF(Y24="Craft",AC24,0),IF(Y25="craft",AC25,0),IF(Y26="craft",AC26,0),IF(Y27="craft",AC27,0),IF(Y28="craft",AC28,0),IF(Y29="craft",AC29,0),IF(Y30="craft",AC30,0),IF(Y31="craft",AC31,0),IF(Y32="craft",AC32,0),IF(Y33="craft",AC33,0)),IF(Q32="Science",SUM(IF(Y24="Science",AC24,0),IF(Y25="science",AC25,0),IF(Y26="science",AC26,0),IF(Y27="science",AC27,0),IF(Y28="science",AC28,0),IF(Y29="science",AC29,0),IF(Y30="science",AC30,0),IF(Y31="science",AC31,0),IF(Y32="science",AC32,0),IF(Y33="science",AC33,0)),0))))))))))))))))))))))))</f>
        <v>0</v>
      </c>
      <c r="V32" s="403"/>
      <c r="W32" s="403"/>
      <c r="X32" s="447"/>
      <c r="Y32" s="610" t="s">
        <v>536</v>
      </c>
      <c r="Z32" s="611"/>
      <c r="AA32" s="611"/>
      <c r="AB32" s="612"/>
      <c r="AC32" s="359"/>
      <c r="AD32" s="359"/>
      <c r="AE32" s="359"/>
      <c r="AF32" s="359"/>
      <c r="AG32" s="359"/>
      <c r="AH32" s="403">
        <f t="shared" si="0"/>
        <v>0</v>
      </c>
      <c r="AI32" s="403"/>
      <c r="AJ32" s="359"/>
      <c r="AK32" s="359"/>
      <c r="AL32" s="359"/>
      <c r="AM32" s="410"/>
      <c r="AN32" s="358"/>
      <c r="AO32" s="359"/>
      <c r="AP32" s="359"/>
      <c r="AQ32" s="359"/>
      <c r="AR32" s="359"/>
      <c r="AS32" s="359"/>
      <c r="AT32" s="403" t="str">
        <f t="shared" si="3"/>
        <v/>
      </c>
      <c r="AU32" s="403"/>
      <c r="AV32" s="615"/>
      <c r="AW32" s="629"/>
      <c r="AX32" s="630"/>
      <c r="AY32" s="630"/>
      <c r="AZ32" s="630"/>
      <c r="BA32" s="630"/>
      <c r="BB32" s="631"/>
      <c r="BC32" s="232"/>
      <c r="BD32" s="137">
        <f t="shared" si="1"/>
        <v>0</v>
      </c>
      <c r="BE32" s="403" t="str">
        <f>IF(AW32="","",HLOOKUP(AW32,AssociatedRef!$AP$1:$BZ$123,LOOKUP($M$19,AssociatedRef!$AP$2:$AP$123,AssociatedRef!$AQ$2:$AQ$123),FALSE))</f>
        <v/>
      </c>
      <c r="BF32" s="403"/>
      <c r="BG32" s="24" t="s">
        <v>361</v>
      </c>
      <c r="BH32" s="23" t="str">
        <f t="shared" si="2"/>
        <v/>
      </c>
      <c r="BI32" s="629" t="s">
        <v>387</v>
      </c>
      <c r="BJ32" s="630"/>
      <c r="BK32" s="630"/>
      <c r="BL32" s="631"/>
      <c r="BM32" s="232"/>
      <c r="BN32" s="232"/>
      <c r="BO32" s="232"/>
      <c r="BP32" s="359"/>
      <c r="BQ32" s="359"/>
      <c r="BR32" s="359"/>
      <c r="BS32" s="359"/>
      <c r="BT32" s="410"/>
    </row>
    <row r="33" spans="1:72" ht="15.75" thickBot="1" x14ac:dyDescent="0.3">
      <c r="A33" s="406" t="s">
        <v>21</v>
      </c>
      <c r="B33" s="407"/>
      <c r="C33" s="407"/>
      <c r="D33" s="407"/>
      <c r="E33" s="359">
        <v>1</v>
      </c>
      <c r="F33" s="359"/>
      <c r="G33" s="359"/>
      <c r="H33" s="359"/>
      <c r="I33" s="359"/>
      <c r="J33" s="359"/>
      <c r="K33" s="359"/>
      <c r="L33" s="410"/>
      <c r="M33" s="406" t="s">
        <v>27</v>
      </c>
      <c r="N33" s="407"/>
      <c r="O33" s="407"/>
      <c r="P33" s="407"/>
      <c r="Q33" s="403" t="str">
        <f>IF(M19="select","Select God",LOOKUP(M19,PantheonList!A18:A149,PantheonList!G18:G149))</f>
        <v>Select God</v>
      </c>
      <c r="R33" s="403"/>
      <c r="S33" s="403"/>
      <c r="T33" s="403"/>
      <c r="U33" s="403">
        <f>IF(Q33=Y4,AC4,IF(Q33=Y5,AC5,IF(Q33=Y6,AC6,IF(Q33=Y7,AC7,IF(Q33=Y8,AC8,IF(Q33=Y9,AC9,IF(Q33=Y10,AC10,IF(Q33=Y11,AC11,IF(Q33=Y12,AC12,IF(Q33=Y13,AC13,IF(Q33=Y14,AC14,IF(Q33=Y15,AC15,IF(Q33=Y16,AC16,IF(Q33=Y17,AC17,IF(Q33=Y18,AC18,IF(Q33=Y19,AC19,IF(Q33=Y20,AC20,IF(Q33=Y21,AC21,IF(Q33=Y22,AC22,IF(Q33=Y23,AC23,IF(Q33="Art",SUM(IF(Y24="Art",AC24,0),IF(Y25="art",AC25,0),IF(Y26="art",AC26,0),IF(Y27="art",AC27,0),IF(Y28="art",AC28,0),IF(Y29="art",AC29,0),IF(Y30="art",AC30,0),IF(Y31="art",AC31,0),IF(Y32="art",AC32,0),IF(Y33="art",AC33,0)),IF(Q33="Control",SUM(IF(Y24="Control",AC24,0),IF(Y25="control",AC25,0),IF(Y26="control",AC26,0),IF(Y27="control",AC27,0),IF(Y28="control",AC28,0),IF(Y29="control",AC29,0),IF(Y30="control",AC30,0),IF(Y31="control",AC31,0),IF(Y32="control",AC32,0),IF(Y33="control",AC33,0)),IF(Q33="Craft",SUM(IF(Y24="Craft",AC24,0),IF(Y25="craft",AC25,0),IF(Y26="craft",AC26,0),IF(Y27="craft",AC27,0),IF(Y28="craft",AC28,0),IF(Y29="craft",AC29,0),IF(Y30="craft",AC30,0),IF(Y31="craft",AC31,0),IF(Y32="craft",AC32,0),IF(Y33="craft",AC33,0)),IF(Q33="Science",SUM(IF(Y24="Science",AC24,0),IF(Y25="science",AC25,0),IF(Y26="science",AC26,0),IF(Y27="science",AC27,0),IF(Y28="science",AC28,0),IF(Y29="science",AC29,0),IF(Y30="science",AC30,0),IF(Y31="science",AC31,0),IF(Y32="science",AC32,0),IF(Y33="science",AC33,0)),0))))))))))))))))))))))))</f>
        <v>0</v>
      </c>
      <c r="V33" s="403"/>
      <c r="W33" s="403"/>
      <c r="X33" s="447"/>
      <c r="Y33" s="610" t="s">
        <v>536</v>
      </c>
      <c r="Z33" s="611"/>
      <c r="AA33" s="611"/>
      <c r="AB33" s="612"/>
      <c r="AC33" s="359"/>
      <c r="AD33" s="359"/>
      <c r="AE33" s="359"/>
      <c r="AF33" s="359"/>
      <c r="AG33" s="359"/>
      <c r="AH33" s="403">
        <f t="shared" si="0"/>
        <v>0</v>
      </c>
      <c r="AI33" s="403"/>
      <c r="AJ33" s="359"/>
      <c r="AK33" s="359"/>
      <c r="AL33" s="359"/>
      <c r="AM33" s="410"/>
      <c r="AN33" s="358"/>
      <c r="AO33" s="359"/>
      <c r="AP33" s="359"/>
      <c r="AQ33" s="359"/>
      <c r="AR33" s="359"/>
      <c r="AS33" s="359"/>
      <c r="AT33" s="403" t="str">
        <f t="shared" si="3"/>
        <v/>
      </c>
      <c r="AU33" s="403"/>
      <c r="AV33" s="615"/>
      <c r="AW33" s="629"/>
      <c r="AX33" s="630"/>
      <c r="AY33" s="630"/>
      <c r="AZ33" s="630"/>
      <c r="BA33" s="630"/>
      <c r="BB33" s="631"/>
      <c r="BC33" s="232"/>
      <c r="BD33" s="137">
        <f t="shared" si="1"/>
        <v>0</v>
      </c>
      <c r="BE33" s="403" t="str">
        <f>IF(AW33="","",HLOOKUP(AW33,AssociatedRef!$AP$1:$BZ$123,LOOKUP($M$19,AssociatedRef!$AP$2:$AP$123,AssociatedRef!$AQ$2:$AQ$123),FALSE))</f>
        <v/>
      </c>
      <c r="BF33" s="403"/>
      <c r="BG33" s="24" t="s">
        <v>361</v>
      </c>
      <c r="BH33" s="23" t="str">
        <f t="shared" si="2"/>
        <v/>
      </c>
      <c r="BI33" s="629" t="s">
        <v>387</v>
      </c>
      <c r="BJ33" s="630"/>
      <c r="BK33" s="630"/>
      <c r="BL33" s="631"/>
      <c r="BM33" s="232"/>
      <c r="BN33" s="232"/>
      <c r="BO33" s="232"/>
      <c r="BP33" s="359"/>
      <c r="BQ33" s="359"/>
      <c r="BR33" s="359"/>
      <c r="BS33" s="359"/>
      <c r="BT33" s="410"/>
    </row>
    <row r="34" spans="1:72" x14ac:dyDescent="0.25">
      <c r="A34" s="406" t="s">
        <v>15</v>
      </c>
      <c r="B34" s="407"/>
      <c r="C34" s="407"/>
      <c r="D34" s="407"/>
      <c r="E34" s="593" t="s">
        <v>59</v>
      </c>
      <c r="F34" s="593"/>
      <c r="G34" s="593"/>
      <c r="H34" s="593"/>
      <c r="I34" s="649"/>
      <c r="J34" s="670"/>
      <c r="K34" s="670"/>
      <c r="L34" s="671"/>
      <c r="M34" s="494"/>
      <c r="N34" s="403"/>
      <c r="O34" s="403"/>
      <c r="P34" s="403"/>
      <c r="Q34" s="403" t="s">
        <v>28</v>
      </c>
      <c r="R34" s="403"/>
      <c r="S34" s="403"/>
      <c r="T34" s="403"/>
      <c r="U34" s="403">
        <f>SUM(U28:X33)</f>
        <v>0</v>
      </c>
      <c r="V34" s="403"/>
      <c r="W34" s="403"/>
      <c r="X34" s="447"/>
      <c r="Y34" s="624" t="s">
        <v>28</v>
      </c>
      <c r="Z34" s="625"/>
      <c r="AA34" s="625"/>
      <c r="AB34" s="609"/>
      <c r="AC34" s="403">
        <f>SUM(AC4:AE33)</f>
        <v>0</v>
      </c>
      <c r="AD34" s="403"/>
      <c r="AE34" s="447"/>
      <c r="AF34" s="653"/>
      <c r="AG34" s="654"/>
      <c r="AH34" s="654"/>
      <c r="AI34" s="654"/>
      <c r="AJ34" s="654"/>
      <c r="AK34" s="654"/>
      <c r="AL34" s="654"/>
      <c r="AM34" s="654"/>
      <c r="AN34" s="654"/>
      <c r="AO34" s="654"/>
      <c r="AP34" s="654"/>
      <c r="AQ34" s="654"/>
      <c r="AR34" s="654"/>
      <c r="AS34" s="654"/>
      <c r="AT34" s="654"/>
      <c r="AU34" s="654"/>
      <c r="AV34" s="655"/>
      <c r="AW34" s="629"/>
      <c r="AX34" s="630"/>
      <c r="AY34" s="630"/>
      <c r="AZ34" s="630"/>
      <c r="BA34" s="630"/>
      <c r="BB34" s="631"/>
      <c r="BC34" s="232"/>
      <c r="BD34" s="137">
        <f t="shared" si="1"/>
        <v>0</v>
      </c>
      <c r="BE34" s="403" t="str">
        <f>IF(AW34="","",HLOOKUP(AW34,AssociatedRef!$AP$1:$BZ$123,LOOKUP($M$19,AssociatedRef!$AP$2:$AP$123,AssociatedRef!$AQ$2:$AQ$123),FALSE))</f>
        <v/>
      </c>
      <c r="BF34" s="403"/>
      <c r="BG34" s="24" t="s">
        <v>361</v>
      </c>
      <c r="BH34" s="23" t="str">
        <f t="shared" si="2"/>
        <v/>
      </c>
      <c r="BI34" s="629" t="s">
        <v>387</v>
      </c>
      <c r="BJ34" s="630"/>
      <c r="BK34" s="630"/>
      <c r="BL34" s="631"/>
      <c r="BM34" s="232"/>
      <c r="BN34" s="232"/>
      <c r="BO34" s="232"/>
      <c r="BP34" s="359"/>
      <c r="BQ34" s="359"/>
      <c r="BR34" s="359"/>
      <c r="BS34" s="359"/>
      <c r="BT34" s="410"/>
    </row>
    <row r="35" spans="1:72" ht="15.75" thickBot="1" x14ac:dyDescent="0.3">
      <c r="A35" s="406" t="s">
        <v>32</v>
      </c>
      <c r="B35" s="407"/>
      <c r="C35" s="407"/>
      <c r="D35" s="407"/>
      <c r="E35" s="403" t="str">
        <f>IF(E34="primary",11-SUM(E31:H33),IF(E34="Secondary",9-SUM(E31:H33),IF(E34="Tertiary",7-SUM(E31:H33),"Select Priority")))</f>
        <v>Select Priority</v>
      </c>
      <c r="F35" s="403"/>
      <c r="G35" s="403"/>
      <c r="H35" s="403"/>
      <c r="I35" s="675"/>
      <c r="J35" s="365"/>
      <c r="K35" s="365"/>
      <c r="L35" s="590"/>
      <c r="M35" s="469"/>
      <c r="N35" s="414"/>
      <c r="O35" s="414"/>
      <c r="P35" s="414"/>
      <c r="Q35" s="414" t="s">
        <v>29</v>
      </c>
      <c r="R35" s="414"/>
      <c r="S35" s="414"/>
      <c r="T35" s="414"/>
      <c r="U35" s="497" t="str">
        <f>IF(U34&gt;5,"Yes","No")</f>
        <v>No</v>
      </c>
      <c r="V35" s="497"/>
      <c r="W35" s="497"/>
      <c r="X35" s="649"/>
      <c r="Y35" s="406" t="s">
        <v>32</v>
      </c>
      <c r="Z35" s="407"/>
      <c r="AA35" s="407"/>
      <c r="AB35" s="407"/>
      <c r="AC35" s="403">
        <f>30-AC34</f>
        <v>30</v>
      </c>
      <c r="AD35" s="403"/>
      <c r="AE35" s="447"/>
      <c r="AF35" s="656"/>
      <c r="AG35" s="657"/>
      <c r="AH35" s="657"/>
      <c r="AI35" s="657"/>
      <c r="AJ35" s="657"/>
      <c r="AK35" s="657"/>
      <c r="AL35" s="657"/>
      <c r="AM35" s="657"/>
      <c r="AN35" s="657"/>
      <c r="AO35" s="657"/>
      <c r="AP35" s="657"/>
      <c r="AQ35" s="657"/>
      <c r="AR35" s="657"/>
      <c r="AS35" s="657"/>
      <c r="AT35" s="657"/>
      <c r="AU35" s="657"/>
      <c r="AV35" s="658"/>
      <c r="AW35" s="629"/>
      <c r="AX35" s="630"/>
      <c r="AY35" s="630"/>
      <c r="AZ35" s="630"/>
      <c r="BA35" s="630"/>
      <c r="BB35" s="631"/>
      <c r="BC35" s="232"/>
      <c r="BD35" s="137">
        <f t="shared" si="1"/>
        <v>0</v>
      </c>
      <c r="BE35" s="403" t="str">
        <f>IF(AW35="","",HLOOKUP(AW35,AssociatedRef!$AP$1:$BZ$123,LOOKUP($M$19,AssociatedRef!$AP$2:$AP$123,AssociatedRef!$AQ$2:$AQ$123),FALSE))</f>
        <v/>
      </c>
      <c r="BF35" s="403"/>
      <c r="BG35" s="24" t="s">
        <v>361</v>
      </c>
      <c r="BH35" s="23" t="str">
        <f t="shared" si="2"/>
        <v/>
      </c>
      <c r="BI35" s="629" t="s">
        <v>387</v>
      </c>
      <c r="BJ35" s="630"/>
      <c r="BK35" s="630"/>
      <c r="BL35" s="631"/>
      <c r="BM35" s="232"/>
      <c r="BN35" s="232"/>
      <c r="BO35" s="232"/>
      <c r="BP35" s="359"/>
      <c r="BQ35" s="359"/>
      <c r="BR35" s="359"/>
      <c r="BS35" s="359"/>
      <c r="BT35" s="410"/>
    </row>
    <row r="36" spans="1:72" ht="15" customHeight="1" x14ac:dyDescent="0.25">
      <c r="A36" s="436" t="s">
        <v>80</v>
      </c>
      <c r="B36" s="437"/>
      <c r="C36" s="437"/>
      <c r="D36" s="437"/>
      <c r="E36" s="437"/>
      <c r="F36" s="437"/>
      <c r="G36" s="437"/>
      <c r="H36" s="437"/>
      <c r="I36" s="437"/>
      <c r="J36" s="437"/>
      <c r="K36" s="437"/>
      <c r="L36" s="437"/>
      <c r="M36" s="437"/>
      <c r="N36" s="437"/>
      <c r="O36" s="437"/>
      <c r="P36" s="437"/>
      <c r="Q36" s="437"/>
      <c r="R36" s="437"/>
      <c r="S36" s="437"/>
      <c r="T36" s="437"/>
      <c r="U36" s="437"/>
      <c r="V36" s="437"/>
      <c r="W36" s="437"/>
      <c r="X36" s="438"/>
      <c r="Y36" s="419" t="s">
        <v>29</v>
      </c>
      <c r="Z36" s="420"/>
      <c r="AA36" s="420"/>
      <c r="AB36" s="420"/>
      <c r="AC36" s="620" t="str">
        <f>IF(AND(AC35=0,MAX(AC4:AE33)&lt;4),"Yes","No")</f>
        <v>No</v>
      </c>
      <c r="AD36" s="620"/>
      <c r="AE36" s="621"/>
      <c r="AF36" s="656"/>
      <c r="AG36" s="657"/>
      <c r="AH36" s="657"/>
      <c r="AI36" s="657"/>
      <c r="AJ36" s="657"/>
      <c r="AK36" s="657"/>
      <c r="AL36" s="657"/>
      <c r="AM36" s="657"/>
      <c r="AN36" s="657"/>
      <c r="AO36" s="657"/>
      <c r="AP36" s="657"/>
      <c r="AQ36" s="657"/>
      <c r="AR36" s="657"/>
      <c r="AS36" s="657"/>
      <c r="AT36" s="657"/>
      <c r="AU36" s="657"/>
      <c r="AV36" s="658"/>
      <c r="AW36" s="629"/>
      <c r="AX36" s="630"/>
      <c r="AY36" s="630"/>
      <c r="AZ36" s="630"/>
      <c r="BA36" s="630"/>
      <c r="BB36" s="631"/>
      <c r="BC36" s="232"/>
      <c r="BD36" s="137">
        <f t="shared" si="1"/>
        <v>0</v>
      </c>
      <c r="BE36" s="403" t="str">
        <f>IF(AW36="","",HLOOKUP(AW36,AssociatedRef!$AP$1:$BZ$123,LOOKUP($M$19,AssociatedRef!$AP$2:$AP$123,AssociatedRef!$AQ$2:$AQ$123),FALSE))</f>
        <v/>
      </c>
      <c r="BF36" s="403"/>
      <c r="BG36" s="24" t="s">
        <v>361</v>
      </c>
      <c r="BH36" s="23" t="str">
        <f t="shared" si="2"/>
        <v/>
      </c>
      <c r="BI36" s="629" t="s">
        <v>387</v>
      </c>
      <c r="BJ36" s="630"/>
      <c r="BK36" s="630"/>
      <c r="BL36" s="631"/>
      <c r="BM36" s="232"/>
      <c r="BN36" s="232"/>
      <c r="BO36" s="232"/>
      <c r="BP36" s="359"/>
      <c r="BQ36" s="359"/>
      <c r="BR36" s="359"/>
      <c r="BS36" s="359"/>
      <c r="BT36" s="410"/>
    </row>
    <row r="37" spans="1:72" ht="15.75" customHeight="1" thickBot="1" x14ac:dyDescent="0.3">
      <c r="A37" s="439"/>
      <c r="B37" s="440"/>
      <c r="C37" s="440"/>
      <c r="D37" s="440"/>
      <c r="E37" s="440"/>
      <c r="F37" s="440"/>
      <c r="G37" s="440"/>
      <c r="H37" s="440"/>
      <c r="I37" s="440"/>
      <c r="J37" s="440"/>
      <c r="K37" s="440"/>
      <c r="L37" s="440"/>
      <c r="M37" s="440"/>
      <c r="N37" s="440"/>
      <c r="O37" s="440"/>
      <c r="P37" s="440"/>
      <c r="Q37" s="440"/>
      <c r="R37" s="440"/>
      <c r="S37" s="440"/>
      <c r="T37" s="440"/>
      <c r="U37" s="440"/>
      <c r="V37" s="440"/>
      <c r="W37" s="440"/>
      <c r="X37" s="441"/>
      <c r="Y37" s="618"/>
      <c r="Z37" s="619"/>
      <c r="AA37" s="619"/>
      <c r="AB37" s="619"/>
      <c r="AC37" s="622"/>
      <c r="AD37" s="622"/>
      <c r="AE37" s="623"/>
      <c r="AF37" s="656"/>
      <c r="AG37" s="657"/>
      <c r="AH37" s="657"/>
      <c r="AI37" s="657"/>
      <c r="AJ37" s="657"/>
      <c r="AK37" s="657"/>
      <c r="AL37" s="657"/>
      <c r="AM37" s="657"/>
      <c r="AN37" s="657"/>
      <c r="AO37" s="657"/>
      <c r="AP37" s="657"/>
      <c r="AQ37" s="657"/>
      <c r="AR37" s="657"/>
      <c r="AS37" s="657"/>
      <c r="AT37" s="657"/>
      <c r="AU37" s="657"/>
      <c r="AV37" s="658"/>
      <c r="AW37" s="629"/>
      <c r="AX37" s="630"/>
      <c r="AY37" s="630"/>
      <c r="AZ37" s="630"/>
      <c r="BA37" s="630"/>
      <c r="BB37" s="631"/>
      <c r="BC37" s="232"/>
      <c r="BD37" s="137">
        <f t="shared" si="1"/>
        <v>0</v>
      </c>
      <c r="BE37" s="403" t="str">
        <f>IF(AW37="","",HLOOKUP(AW37,AssociatedRef!$AP$1:$BZ$123,LOOKUP($M$19,AssociatedRef!$AP$2:$AP$123,AssociatedRef!$AQ$2:$AQ$123),FALSE))</f>
        <v/>
      </c>
      <c r="BF37" s="403"/>
      <c r="BG37" s="24" t="s">
        <v>361</v>
      </c>
      <c r="BH37" s="23" t="str">
        <f t="shared" si="2"/>
        <v/>
      </c>
      <c r="BI37" s="629" t="s">
        <v>387</v>
      </c>
      <c r="BJ37" s="630"/>
      <c r="BK37" s="630"/>
      <c r="BL37" s="631"/>
      <c r="BM37" s="232"/>
      <c r="BN37" s="232"/>
      <c r="BO37" s="232"/>
      <c r="BP37" s="359"/>
      <c r="BQ37" s="359"/>
      <c r="BR37" s="359"/>
      <c r="BS37" s="359"/>
      <c r="BT37" s="410"/>
    </row>
    <row r="38" spans="1:72" x14ac:dyDescent="0.25">
      <c r="A38" s="494"/>
      <c r="B38" s="403"/>
      <c r="C38" s="403"/>
      <c r="D38" s="403"/>
      <c r="E38" s="407" t="s">
        <v>81</v>
      </c>
      <c r="F38" s="407"/>
      <c r="G38" s="407"/>
      <c r="H38" s="407"/>
      <c r="I38" s="407" t="s">
        <v>82</v>
      </c>
      <c r="J38" s="407"/>
      <c r="K38" s="407"/>
      <c r="L38" s="407"/>
      <c r="M38" s="403"/>
      <c r="N38" s="403"/>
      <c r="O38" s="403"/>
      <c r="P38" s="403"/>
      <c r="Q38" s="407" t="s">
        <v>81</v>
      </c>
      <c r="R38" s="407"/>
      <c r="S38" s="407"/>
      <c r="T38" s="407"/>
      <c r="U38" s="407" t="s">
        <v>82</v>
      </c>
      <c r="V38" s="407"/>
      <c r="W38" s="407"/>
      <c r="X38" s="595"/>
      <c r="Y38" s="392" t="s">
        <v>63</v>
      </c>
      <c r="Z38" s="391"/>
      <c r="AA38" s="391"/>
      <c r="AB38" s="391"/>
      <c r="AC38" s="391"/>
      <c r="AD38" s="391"/>
      <c r="AE38" s="391"/>
      <c r="AF38" s="526" t="str">
        <f>IF(M19="Select","",LOOKUP(M19,PantheonList!A18:A139,PantheonList!I18:I139))</f>
        <v/>
      </c>
      <c r="AG38" s="526"/>
      <c r="AH38" s="526"/>
      <c r="AI38" s="526"/>
      <c r="AJ38" s="526"/>
      <c r="AK38" s="526"/>
      <c r="AL38" s="526"/>
      <c r="AM38" s="526"/>
      <c r="AN38" s="526"/>
      <c r="AO38" s="526"/>
      <c r="AP38" s="526"/>
      <c r="AQ38" s="526"/>
      <c r="AR38" s="526"/>
      <c r="AS38" s="526"/>
      <c r="AT38" s="526"/>
      <c r="AU38" s="526"/>
      <c r="AV38" s="651"/>
      <c r="AW38" s="630"/>
      <c r="AX38" s="630"/>
      <c r="AY38" s="630"/>
      <c r="AZ38" s="630"/>
      <c r="BA38" s="630"/>
      <c r="BB38" s="631"/>
      <c r="BC38" s="232"/>
      <c r="BD38" s="137">
        <f t="shared" si="1"/>
        <v>0</v>
      </c>
      <c r="BE38" s="403" t="str">
        <f>IF(AW38="","",HLOOKUP(AW38,AssociatedRef!$AP$1:$BZ$123,LOOKUP($M$19,AssociatedRef!$AP$2:$AP$123,AssociatedRef!$AQ$2:$AQ$123),FALSE))</f>
        <v/>
      </c>
      <c r="BF38" s="403"/>
      <c r="BG38" s="24" t="s">
        <v>361</v>
      </c>
      <c r="BH38" s="23" t="str">
        <f t="shared" si="2"/>
        <v/>
      </c>
      <c r="BI38" s="629" t="s">
        <v>387</v>
      </c>
      <c r="BJ38" s="630"/>
      <c r="BK38" s="630"/>
      <c r="BL38" s="631"/>
      <c r="BM38" s="232"/>
      <c r="BN38" s="232"/>
      <c r="BO38" s="232"/>
      <c r="BP38" s="359"/>
      <c r="BQ38" s="359"/>
      <c r="BR38" s="359"/>
      <c r="BS38" s="359"/>
      <c r="BT38" s="410"/>
    </row>
    <row r="39" spans="1:72" x14ac:dyDescent="0.25">
      <c r="A39" s="406" t="s">
        <v>8</v>
      </c>
      <c r="B39" s="407"/>
      <c r="C39" s="407"/>
      <c r="D39" s="407"/>
      <c r="E39" s="403">
        <f>SUM(I19:L33)</f>
        <v>0</v>
      </c>
      <c r="F39" s="403"/>
      <c r="G39" s="403"/>
      <c r="H39" s="403"/>
      <c r="I39" s="403">
        <f>E39*4</f>
        <v>0</v>
      </c>
      <c r="J39" s="403"/>
      <c r="K39" s="403"/>
      <c r="L39" s="403"/>
      <c r="M39" s="407" t="s">
        <v>67</v>
      </c>
      <c r="N39" s="407"/>
      <c r="O39" s="407"/>
      <c r="P39" s="407"/>
      <c r="Q39" s="403">
        <f>SUM(BQ4:BR12)</f>
        <v>0</v>
      </c>
      <c r="R39" s="403"/>
      <c r="S39" s="403"/>
      <c r="T39" s="403"/>
      <c r="U39" s="403">
        <f>SUM(BS4:BT12)</f>
        <v>0</v>
      </c>
      <c r="V39" s="403"/>
      <c r="W39" s="403"/>
      <c r="X39" s="447"/>
      <c r="Y39" s="393"/>
      <c r="Z39" s="389"/>
      <c r="AA39" s="389"/>
      <c r="AB39" s="389"/>
      <c r="AC39" s="389"/>
      <c r="AD39" s="389"/>
      <c r="AE39" s="389"/>
      <c r="AF39" s="535"/>
      <c r="AG39" s="535"/>
      <c r="AH39" s="535"/>
      <c r="AI39" s="535"/>
      <c r="AJ39" s="535"/>
      <c r="AK39" s="535"/>
      <c r="AL39" s="535"/>
      <c r="AM39" s="535"/>
      <c r="AN39" s="535"/>
      <c r="AO39" s="535"/>
      <c r="AP39" s="535"/>
      <c r="AQ39" s="535"/>
      <c r="AR39" s="535"/>
      <c r="AS39" s="535"/>
      <c r="AT39" s="535"/>
      <c r="AU39" s="535"/>
      <c r="AV39" s="652"/>
      <c r="AW39" s="630"/>
      <c r="AX39" s="630"/>
      <c r="AY39" s="630"/>
      <c r="AZ39" s="630"/>
      <c r="BA39" s="630"/>
      <c r="BB39" s="631"/>
      <c r="BC39" s="232"/>
      <c r="BD39" s="137">
        <f t="shared" si="1"/>
        <v>0</v>
      </c>
      <c r="BE39" s="403" t="str">
        <f>IF(AW39="","",HLOOKUP(AW39,AssociatedRef!$AP$1:$BZ$123,LOOKUP($M$19,AssociatedRef!$AP$2:$AP$123,AssociatedRef!$AQ$2:$AQ$123),FALSE))</f>
        <v/>
      </c>
      <c r="BF39" s="403"/>
      <c r="BG39" s="24" t="s">
        <v>361</v>
      </c>
      <c r="BH39" s="23" t="str">
        <f t="shared" si="2"/>
        <v/>
      </c>
      <c r="BI39" s="629" t="s">
        <v>387</v>
      </c>
      <c r="BJ39" s="630"/>
      <c r="BK39" s="630"/>
      <c r="BL39" s="631"/>
      <c r="BM39" s="232"/>
      <c r="BN39" s="232"/>
      <c r="BO39" s="232"/>
      <c r="BP39" s="359"/>
      <c r="BQ39" s="359"/>
      <c r="BR39" s="359"/>
      <c r="BS39" s="359"/>
      <c r="BT39" s="410"/>
    </row>
    <row r="40" spans="1:72" x14ac:dyDescent="0.25">
      <c r="A40" s="406" t="s">
        <v>69</v>
      </c>
      <c r="B40" s="407"/>
      <c r="C40" s="407"/>
      <c r="D40" s="407"/>
      <c r="E40" s="403">
        <f>SUM(AF4:AG33)</f>
        <v>0</v>
      </c>
      <c r="F40" s="403"/>
      <c r="G40" s="403"/>
      <c r="H40" s="403"/>
      <c r="I40" s="403">
        <f>SUM(AH4:AI33)</f>
        <v>0</v>
      </c>
      <c r="J40" s="403"/>
      <c r="K40" s="403"/>
      <c r="L40" s="403"/>
      <c r="M40" s="407" t="s">
        <v>453</v>
      </c>
      <c r="N40" s="407"/>
      <c r="O40" s="407"/>
      <c r="P40" s="407"/>
      <c r="Q40" s="403">
        <f>U40/3</f>
        <v>0</v>
      </c>
      <c r="R40" s="403"/>
      <c r="S40" s="403"/>
      <c r="T40" s="403"/>
      <c r="U40" s="403">
        <f>SUM(AT6:AV33)</f>
        <v>0</v>
      </c>
      <c r="V40" s="403"/>
      <c r="W40" s="403"/>
      <c r="X40" s="447"/>
      <c r="Y40" s="393" t="s">
        <v>64</v>
      </c>
      <c r="Z40" s="389"/>
      <c r="AA40" s="389"/>
      <c r="AB40" s="389"/>
      <c r="AC40" s="389"/>
      <c r="AD40" s="389"/>
      <c r="AE40" s="389"/>
      <c r="AF40" s="535" t="str">
        <f>IF(M19="Select","",LOOKUP(M19,PantheonList!A18:A139,PantheonList!H18:H139))</f>
        <v/>
      </c>
      <c r="AG40" s="535"/>
      <c r="AH40" s="535"/>
      <c r="AI40" s="535"/>
      <c r="AJ40" s="535"/>
      <c r="AK40" s="535"/>
      <c r="AL40" s="535"/>
      <c r="AM40" s="535"/>
      <c r="AN40" s="535"/>
      <c r="AO40" s="535"/>
      <c r="AP40" s="535"/>
      <c r="AQ40" s="535"/>
      <c r="AR40" s="535"/>
      <c r="AS40" s="535"/>
      <c r="AT40" s="535"/>
      <c r="AU40" s="535"/>
      <c r="AV40" s="652"/>
      <c r="AW40" s="630"/>
      <c r="AX40" s="630"/>
      <c r="AY40" s="630"/>
      <c r="AZ40" s="630"/>
      <c r="BA40" s="630"/>
      <c r="BB40" s="631"/>
      <c r="BC40" s="232"/>
      <c r="BD40" s="137">
        <f t="shared" si="1"/>
        <v>0</v>
      </c>
      <c r="BE40" s="403" t="str">
        <f>IF(AW40="","",HLOOKUP(AW40,AssociatedRef!$AP$1:$BZ$123,LOOKUP($M$19,AssociatedRef!$AP$2:$AP$123,AssociatedRef!$AQ$2:$AQ$123),FALSE))</f>
        <v/>
      </c>
      <c r="BF40" s="403"/>
      <c r="BG40" s="24" t="s">
        <v>361</v>
      </c>
      <c r="BH40" s="23" t="str">
        <f t="shared" si="2"/>
        <v/>
      </c>
      <c r="BI40" s="624" t="s">
        <v>28</v>
      </c>
      <c r="BJ40" s="625"/>
      <c r="BK40" s="625"/>
      <c r="BL40" s="609"/>
      <c r="BM40" s="22">
        <f>SUM(BM21:BM39)</f>
        <v>0</v>
      </c>
      <c r="BN40" s="643" t="s">
        <v>78</v>
      </c>
      <c r="BO40" s="643" t="s">
        <v>79</v>
      </c>
      <c r="BP40" s="646" t="str">
        <f>IF(MAX(BM21:BM39)&gt;3,"No Birthright may be raised above 3 dots at creation without spending bonus points to do so.","")</f>
        <v/>
      </c>
      <c r="BQ40" s="309"/>
      <c r="BR40" s="309"/>
      <c r="BS40" s="309"/>
      <c r="BT40" s="310"/>
    </row>
    <row r="41" spans="1:72" x14ac:dyDescent="0.25">
      <c r="A41" s="406" t="s">
        <v>31</v>
      </c>
      <c r="B41" s="407"/>
      <c r="C41" s="407"/>
      <c r="D41" s="407"/>
      <c r="E41" s="403">
        <f>SUM(W19:X22)</f>
        <v>0</v>
      </c>
      <c r="F41" s="403"/>
      <c r="G41" s="403"/>
      <c r="H41" s="403"/>
      <c r="I41" s="403">
        <f>E41*3</f>
        <v>0</v>
      </c>
      <c r="J41" s="403"/>
      <c r="K41" s="403"/>
      <c r="L41" s="403"/>
      <c r="M41" s="407" t="s">
        <v>85</v>
      </c>
      <c r="N41" s="407"/>
      <c r="O41" s="407"/>
      <c r="P41" s="407"/>
      <c r="Q41" s="403">
        <f>SUM(BN21:BO39)</f>
        <v>0</v>
      </c>
      <c r="R41" s="403"/>
      <c r="S41" s="403"/>
      <c r="T41" s="403"/>
      <c r="U41" s="403">
        <f>SUM(BN21:BN39)+SUM(BO21:BO39)*2</f>
        <v>0</v>
      </c>
      <c r="V41" s="403"/>
      <c r="W41" s="403"/>
      <c r="X41" s="447"/>
      <c r="Y41" s="393"/>
      <c r="Z41" s="389"/>
      <c r="AA41" s="389"/>
      <c r="AB41" s="389"/>
      <c r="AC41" s="389"/>
      <c r="AD41" s="389"/>
      <c r="AE41" s="389"/>
      <c r="AF41" s="535"/>
      <c r="AG41" s="535"/>
      <c r="AH41" s="535"/>
      <c r="AI41" s="535"/>
      <c r="AJ41" s="535"/>
      <c r="AK41" s="535"/>
      <c r="AL41" s="535"/>
      <c r="AM41" s="535"/>
      <c r="AN41" s="535"/>
      <c r="AO41" s="535"/>
      <c r="AP41" s="535"/>
      <c r="AQ41" s="535"/>
      <c r="AR41" s="535"/>
      <c r="AS41" s="535"/>
      <c r="AT41" s="535"/>
      <c r="AU41" s="535"/>
      <c r="AV41" s="652"/>
      <c r="AW41" s="630"/>
      <c r="AX41" s="630"/>
      <c r="AY41" s="630"/>
      <c r="AZ41" s="630"/>
      <c r="BA41" s="630"/>
      <c r="BB41" s="631"/>
      <c r="BC41" s="232"/>
      <c r="BD41" s="137">
        <f t="shared" si="1"/>
        <v>0</v>
      </c>
      <c r="BE41" s="403" t="str">
        <f>IF(AW41="","",HLOOKUP(AW41,AssociatedRef!$AP$1:$BZ$123,LOOKUP($M$19,AssociatedRef!$AP$2:$AP$123,AssociatedRef!$AQ$2:$AQ$123),FALSE))</f>
        <v/>
      </c>
      <c r="BF41" s="403"/>
      <c r="BG41" s="24" t="s">
        <v>361</v>
      </c>
      <c r="BH41" s="23" t="str">
        <f t="shared" si="2"/>
        <v/>
      </c>
      <c r="BI41" s="609" t="s">
        <v>32</v>
      </c>
      <c r="BJ41" s="407"/>
      <c r="BK41" s="407"/>
      <c r="BL41" s="407"/>
      <c r="BM41" s="22">
        <f>5-BM40</f>
        <v>5</v>
      </c>
      <c r="BN41" s="643"/>
      <c r="BO41" s="643"/>
      <c r="BP41" s="647"/>
      <c r="BQ41" s="297"/>
      <c r="BR41" s="297"/>
      <c r="BS41" s="297"/>
      <c r="BT41" s="298"/>
    </row>
    <row r="42" spans="1:72" ht="15.75" thickBot="1" x14ac:dyDescent="0.3">
      <c r="A42" s="406" t="s">
        <v>83</v>
      </c>
      <c r="B42" s="407"/>
      <c r="C42" s="407"/>
      <c r="D42" s="407"/>
      <c r="E42" s="403">
        <f>O23</f>
        <v>0</v>
      </c>
      <c r="F42" s="403"/>
      <c r="G42" s="403"/>
      <c r="H42" s="403"/>
      <c r="I42" s="403">
        <f>E42*2</f>
        <v>0</v>
      </c>
      <c r="J42" s="403"/>
      <c r="K42" s="403"/>
      <c r="L42" s="403"/>
      <c r="M42" s="407" t="s">
        <v>68</v>
      </c>
      <c r="N42" s="407"/>
      <c r="O42" s="407"/>
      <c r="P42" s="407"/>
      <c r="Q42" s="403">
        <f>SUM(BG4:BG46)</f>
        <v>0</v>
      </c>
      <c r="R42" s="403"/>
      <c r="S42" s="403"/>
      <c r="T42" s="403"/>
      <c r="U42" s="403">
        <f>SUM(BH4:BH46)</f>
        <v>0</v>
      </c>
      <c r="V42" s="403"/>
      <c r="W42" s="403"/>
      <c r="X42" s="447"/>
      <c r="Y42" s="408" t="s">
        <v>136</v>
      </c>
      <c r="Z42" s="402"/>
      <c r="AA42" s="402"/>
      <c r="AB42" s="402"/>
      <c r="AC42" s="402"/>
      <c r="AD42" s="402"/>
      <c r="AE42" s="402"/>
      <c r="AF42" s="414" t="str">
        <f>IF(M17="Select","",LOOKUP(M17,PantheonList!A3:A15,PantheonList!B3:B15))</f>
        <v/>
      </c>
      <c r="AG42" s="414"/>
      <c r="AH42" s="414"/>
      <c r="AI42" s="414"/>
      <c r="AJ42" s="414"/>
      <c r="AK42" s="414"/>
      <c r="AL42" s="414"/>
      <c r="AM42" s="414"/>
      <c r="AN42" s="414"/>
      <c r="AO42" s="414"/>
      <c r="AP42" s="414"/>
      <c r="AQ42" s="414"/>
      <c r="AR42" s="414"/>
      <c r="AS42" s="414"/>
      <c r="AT42" s="414"/>
      <c r="AU42" s="414"/>
      <c r="AV42" s="518"/>
      <c r="AW42" s="630"/>
      <c r="AX42" s="630"/>
      <c r="AY42" s="630"/>
      <c r="AZ42" s="630"/>
      <c r="BA42" s="630"/>
      <c r="BB42" s="631"/>
      <c r="BC42" s="232"/>
      <c r="BD42" s="137">
        <f t="shared" si="1"/>
        <v>0</v>
      </c>
      <c r="BE42" s="403" t="str">
        <f>IF(AW42="","",HLOOKUP(AW42,AssociatedRef!$AP$1:$BZ$123,LOOKUP($M$19,AssociatedRef!$AP$2:$AP$123,AssociatedRef!$AQ$2:$AQ$123),FALSE))</f>
        <v/>
      </c>
      <c r="BF42" s="403"/>
      <c r="BG42" s="24" t="s">
        <v>361</v>
      </c>
      <c r="BH42" s="23" t="str">
        <f t="shared" si="2"/>
        <v/>
      </c>
      <c r="BI42" s="609" t="s">
        <v>29</v>
      </c>
      <c r="BJ42" s="407"/>
      <c r="BK42" s="407"/>
      <c r="BL42" s="407"/>
      <c r="BM42" s="22" t="str">
        <f>IF(AND(BM41=0,MAX(BM21:BM39)&lt;4),"Yes","No")</f>
        <v>No</v>
      </c>
      <c r="BN42" s="643"/>
      <c r="BO42" s="643"/>
      <c r="BP42" s="647"/>
      <c r="BQ42" s="297"/>
      <c r="BR42" s="297"/>
      <c r="BS42" s="297"/>
      <c r="BT42" s="298"/>
    </row>
    <row r="43" spans="1:72" ht="15.75" thickBot="1" x14ac:dyDescent="0.3">
      <c r="A43" s="469"/>
      <c r="B43" s="414"/>
      <c r="C43" s="414"/>
      <c r="D43" s="414"/>
      <c r="E43" s="414"/>
      <c r="F43" s="414"/>
      <c r="G43" s="414"/>
      <c r="H43" s="414"/>
      <c r="I43" s="497"/>
      <c r="J43" s="497"/>
      <c r="K43" s="497"/>
      <c r="L43" s="497"/>
      <c r="M43" s="628" t="s">
        <v>84</v>
      </c>
      <c r="N43" s="628"/>
      <c r="O43" s="628"/>
      <c r="P43" s="628"/>
      <c r="Q43" s="414">
        <f>AU4</f>
        <v>0</v>
      </c>
      <c r="R43" s="414"/>
      <c r="S43" s="414"/>
      <c r="T43" s="414"/>
      <c r="U43" s="414">
        <f>Q43*7</f>
        <v>0</v>
      </c>
      <c r="V43" s="414"/>
      <c r="W43" s="414"/>
      <c r="X43" s="650"/>
      <c r="Y43" s="323"/>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5"/>
      <c r="AW43" s="629"/>
      <c r="AX43" s="630"/>
      <c r="AY43" s="630"/>
      <c r="AZ43" s="630"/>
      <c r="BA43" s="630"/>
      <c r="BB43" s="631"/>
      <c r="BC43" s="232"/>
      <c r="BD43" s="137">
        <f t="shared" si="1"/>
        <v>0</v>
      </c>
      <c r="BE43" s="403" t="str">
        <f>IF(AW43="","",HLOOKUP(AW43,AssociatedRef!$AP$1:$BZ$123,LOOKUP($M$19,AssociatedRef!$AP$2:$AP$123,AssociatedRef!$AQ$2:$AQ$123),FALSE))</f>
        <v/>
      </c>
      <c r="BF43" s="403"/>
      <c r="BG43" s="24" t="s">
        <v>361</v>
      </c>
      <c r="BH43" s="23" t="str">
        <f t="shared" si="2"/>
        <v/>
      </c>
      <c r="BI43" s="493"/>
      <c r="BJ43" s="403"/>
      <c r="BK43" s="403"/>
      <c r="BL43" s="403"/>
      <c r="BM43" s="403"/>
      <c r="BN43" s="643"/>
      <c r="BO43" s="643"/>
      <c r="BP43" s="647"/>
      <c r="BQ43" s="297"/>
      <c r="BR43" s="297"/>
      <c r="BS43" s="297"/>
      <c r="BT43" s="298"/>
    </row>
    <row r="44" spans="1:72" x14ac:dyDescent="0.25">
      <c r="A44" s="641"/>
      <c r="B44" s="641"/>
      <c r="C44" s="641"/>
      <c r="D44" s="641"/>
      <c r="E44" s="641"/>
      <c r="F44" s="641"/>
      <c r="G44" s="641"/>
      <c r="H44" s="642"/>
      <c r="I44" s="406" t="s">
        <v>86</v>
      </c>
      <c r="J44" s="407"/>
      <c r="K44" s="407"/>
      <c r="L44" s="407"/>
      <c r="M44" s="403">
        <f>SUM(I39:L42,U39:X43)</f>
        <v>0</v>
      </c>
      <c r="N44" s="403"/>
      <c r="O44" s="403"/>
      <c r="P44" s="615"/>
      <c r="Q44" s="640"/>
      <c r="R44" s="641"/>
      <c r="S44" s="641"/>
      <c r="T44" s="641"/>
      <c r="U44" s="641"/>
      <c r="V44" s="641"/>
      <c r="W44" s="641"/>
      <c r="X44" s="641"/>
      <c r="Y44" s="323"/>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5"/>
      <c r="AW44" s="629"/>
      <c r="AX44" s="630"/>
      <c r="AY44" s="630"/>
      <c r="AZ44" s="630"/>
      <c r="BA44" s="630"/>
      <c r="BB44" s="631"/>
      <c r="BC44" s="232"/>
      <c r="BD44" s="137">
        <f t="shared" si="1"/>
        <v>0</v>
      </c>
      <c r="BE44" s="403" t="str">
        <f>IF(AW44="","",HLOOKUP(AW44,AssociatedRef!$AP$1:$BZ$123,LOOKUP($M$19,AssociatedRef!$AP$2:$AP$123,AssociatedRef!$AQ$2:$AQ$123),FALSE))</f>
        <v/>
      </c>
      <c r="BF44" s="403"/>
      <c r="BG44" s="24" t="s">
        <v>361</v>
      </c>
      <c r="BH44" s="23" t="str">
        <f t="shared" si="2"/>
        <v/>
      </c>
      <c r="BI44" s="493"/>
      <c r="BJ44" s="403"/>
      <c r="BK44" s="403"/>
      <c r="BL44" s="403"/>
      <c r="BM44" s="403"/>
      <c r="BN44" s="643"/>
      <c r="BO44" s="643"/>
      <c r="BP44" s="647"/>
      <c r="BQ44" s="297"/>
      <c r="BR44" s="297"/>
      <c r="BS44" s="297"/>
      <c r="BT44" s="298"/>
    </row>
    <row r="45" spans="1:72" x14ac:dyDescent="0.25">
      <c r="A45" s="676"/>
      <c r="B45" s="676"/>
      <c r="C45" s="676"/>
      <c r="D45" s="676"/>
      <c r="E45" s="676"/>
      <c r="F45" s="676"/>
      <c r="G45" s="676"/>
      <c r="H45" s="325"/>
      <c r="I45" s="406" t="s">
        <v>32</v>
      </c>
      <c r="J45" s="407"/>
      <c r="K45" s="407"/>
      <c r="L45" s="407"/>
      <c r="M45" s="403">
        <f>15-M44</f>
        <v>15</v>
      </c>
      <c r="N45" s="403"/>
      <c r="O45" s="403"/>
      <c r="P45" s="615"/>
      <c r="Q45" s="323"/>
      <c r="R45" s="676"/>
      <c r="S45" s="676"/>
      <c r="T45" s="676"/>
      <c r="U45" s="676"/>
      <c r="V45" s="676"/>
      <c r="W45" s="676"/>
      <c r="X45" s="676"/>
      <c r="Y45" s="323"/>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5"/>
      <c r="AW45" s="629"/>
      <c r="AX45" s="630"/>
      <c r="AY45" s="630"/>
      <c r="AZ45" s="630"/>
      <c r="BA45" s="630"/>
      <c r="BB45" s="631"/>
      <c r="BC45" s="232"/>
      <c r="BD45" s="137">
        <f t="shared" si="1"/>
        <v>0</v>
      </c>
      <c r="BE45" s="403" t="str">
        <f>IF(AW45="","",HLOOKUP(AW45,AssociatedRef!$AP$1:$BZ$123,LOOKUP($M$19,AssociatedRef!$AP$2:$AP$123,AssociatedRef!$AQ$2:$AQ$123),FALSE))</f>
        <v/>
      </c>
      <c r="BF45" s="403"/>
      <c r="BG45" s="24" t="s">
        <v>361</v>
      </c>
      <c r="BH45" s="23" t="str">
        <f t="shared" si="2"/>
        <v/>
      </c>
      <c r="BI45" s="493"/>
      <c r="BJ45" s="403"/>
      <c r="BK45" s="403"/>
      <c r="BL45" s="403"/>
      <c r="BM45" s="403"/>
      <c r="BN45" s="643"/>
      <c r="BO45" s="643"/>
      <c r="BP45" s="647"/>
      <c r="BQ45" s="297"/>
      <c r="BR45" s="297"/>
      <c r="BS45" s="297"/>
      <c r="BT45" s="298"/>
    </row>
    <row r="46" spans="1:72" ht="15.75" thickBot="1" x14ac:dyDescent="0.3">
      <c r="A46" s="676"/>
      <c r="B46" s="676"/>
      <c r="C46" s="676"/>
      <c r="D46" s="676"/>
      <c r="E46" s="676"/>
      <c r="F46" s="676"/>
      <c r="G46" s="676"/>
      <c r="H46" s="325"/>
      <c r="I46" s="408" t="s">
        <v>29</v>
      </c>
      <c r="J46" s="402"/>
      <c r="K46" s="402"/>
      <c r="L46" s="402"/>
      <c r="M46" s="414" t="str">
        <f>IF(M45=0,"Yes","No")</f>
        <v>No</v>
      </c>
      <c r="N46" s="414"/>
      <c r="O46" s="414"/>
      <c r="P46" s="518"/>
      <c r="Q46" s="323"/>
      <c r="R46" s="676"/>
      <c r="S46" s="676"/>
      <c r="T46" s="676"/>
      <c r="U46" s="676"/>
      <c r="V46" s="676"/>
      <c r="W46" s="676"/>
      <c r="X46" s="676"/>
      <c r="Y46" s="364"/>
      <c r="Z46" s="365"/>
      <c r="AA46" s="365"/>
      <c r="AB46" s="365"/>
      <c r="AC46" s="365"/>
      <c r="AD46" s="365"/>
      <c r="AE46" s="365"/>
      <c r="AF46" s="365"/>
      <c r="AG46" s="365"/>
      <c r="AH46" s="365"/>
      <c r="AI46" s="365"/>
      <c r="AJ46" s="365"/>
      <c r="AK46" s="365"/>
      <c r="AL46" s="365"/>
      <c r="AM46" s="365"/>
      <c r="AN46" s="365"/>
      <c r="AO46" s="365"/>
      <c r="AP46" s="365"/>
      <c r="AQ46" s="365"/>
      <c r="AR46" s="365"/>
      <c r="AS46" s="365"/>
      <c r="AT46" s="365"/>
      <c r="AU46" s="365"/>
      <c r="AV46" s="590"/>
      <c r="AW46" s="629"/>
      <c r="AX46" s="630"/>
      <c r="AY46" s="630"/>
      <c r="AZ46" s="630"/>
      <c r="BA46" s="630"/>
      <c r="BB46" s="631"/>
      <c r="BC46" s="232"/>
      <c r="BD46" s="137">
        <f t="shared" si="1"/>
        <v>0</v>
      </c>
      <c r="BE46" s="403" t="str">
        <f>IF(AW46="","",HLOOKUP(AW46,AssociatedRef!$AP$1:$BZ$123,LOOKUP($M$19,AssociatedRef!$AP$2:$AP$123,AssociatedRef!$AQ$2:$AQ$123),FALSE))</f>
        <v/>
      </c>
      <c r="BF46" s="403"/>
      <c r="BG46" s="24" t="s">
        <v>361</v>
      </c>
      <c r="BH46" s="23" t="str">
        <f t="shared" si="2"/>
        <v/>
      </c>
      <c r="BI46" s="645"/>
      <c r="BJ46" s="414"/>
      <c r="BK46" s="414"/>
      <c r="BL46" s="414"/>
      <c r="BM46" s="414"/>
      <c r="BN46" s="644"/>
      <c r="BO46" s="644"/>
      <c r="BP46" s="648"/>
      <c r="BQ46" s="300"/>
      <c r="BR46" s="300"/>
      <c r="BS46" s="300"/>
      <c r="BT46" s="301"/>
    </row>
  </sheetData>
  <sheetProtection password="E9C2" sheet="1" objects="1" scenarios="1" selectLockedCells="1"/>
  <mergeCells count="602">
    <mergeCell ref="S12:X12"/>
    <mergeCell ref="S13:X13"/>
    <mergeCell ref="E12:N12"/>
    <mergeCell ref="E13:N13"/>
    <mergeCell ref="A3:X11"/>
    <mergeCell ref="AW46:BB46"/>
    <mergeCell ref="BE46:BF46"/>
    <mergeCell ref="A24:L24"/>
    <mergeCell ref="A30:L30"/>
    <mergeCell ref="I22:L23"/>
    <mergeCell ref="I28:L29"/>
    <mergeCell ref="I34:L35"/>
    <mergeCell ref="BE41:BF41"/>
    <mergeCell ref="AW42:BB42"/>
    <mergeCell ref="BE42:BF42"/>
    <mergeCell ref="AW43:BB43"/>
    <mergeCell ref="BE43:BF43"/>
    <mergeCell ref="AW44:BB44"/>
    <mergeCell ref="BE44:BF44"/>
    <mergeCell ref="AW45:BB45"/>
    <mergeCell ref="BE45:BF45"/>
    <mergeCell ref="AW40:BB40"/>
    <mergeCell ref="Q44:X46"/>
    <mergeCell ref="A44:H46"/>
    <mergeCell ref="I44:L44"/>
    <mergeCell ref="M44:P44"/>
    <mergeCell ref="I45:L45"/>
    <mergeCell ref="M45:P45"/>
    <mergeCell ref="AN1:AV2"/>
    <mergeCell ref="AN3:AT3"/>
    <mergeCell ref="AN4:AT4"/>
    <mergeCell ref="U24:X24"/>
    <mergeCell ref="M20:P21"/>
    <mergeCell ref="M22:N22"/>
    <mergeCell ref="M23:N23"/>
    <mergeCell ref="M24:N24"/>
    <mergeCell ref="O22:P22"/>
    <mergeCell ref="O23:P23"/>
    <mergeCell ref="O24:P24"/>
    <mergeCell ref="U23:X23"/>
    <mergeCell ref="AN27:AS27"/>
    <mergeCell ref="AT5:AV5"/>
    <mergeCell ref="AN5:AS5"/>
    <mergeCell ref="AN6:AS6"/>
    <mergeCell ref="AN7:AS7"/>
    <mergeCell ref="AN8:AS8"/>
    <mergeCell ref="AN9:AS9"/>
    <mergeCell ref="AN10:AS10"/>
    <mergeCell ref="AN23:AS23"/>
    <mergeCell ref="AN24:AS24"/>
    <mergeCell ref="AT6:AV6"/>
    <mergeCell ref="BI31:BL31"/>
    <mergeCell ref="BP31:BT31"/>
    <mergeCell ref="BI32:BL32"/>
    <mergeCell ref="BP32:BT32"/>
    <mergeCell ref="BI33:BL33"/>
    <mergeCell ref="BP33:BT33"/>
    <mergeCell ref="AN29:AS29"/>
    <mergeCell ref="AN30:AS30"/>
    <mergeCell ref="AN31:AS31"/>
    <mergeCell ref="AN32:AS32"/>
    <mergeCell ref="BE26:BF26"/>
    <mergeCell ref="BE27:BF27"/>
    <mergeCell ref="BE17:BF17"/>
    <mergeCell ref="BE18:BF18"/>
    <mergeCell ref="BE19:BF19"/>
    <mergeCell ref="BE20:BF20"/>
    <mergeCell ref="BE21:BF21"/>
    <mergeCell ref="BE28:BF28"/>
    <mergeCell ref="BE29:BF29"/>
    <mergeCell ref="BE30:BF30"/>
    <mergeCell ref="BE31:BF31"/>
    <mergeCell ref="BI34:BL34"/>
    <mergeCell ref="BP34:BT34"/>
    <mergeCell ref="BI35:BL35"/>
    <mergeCell ref="BP35:BT35"/>
    <mergeCell ref="BI36:BL36"/>
    <mergeCell ref="BP36:BT36"/>
    <mergeCell ref="BI37:BL37"/>
    <mergeCell ref="BP37:BT37"/>
    <mergeCell ref="AW38:BB38"/>
    <mergeCell ref="BE38:BF38"/>
    <mergeCell ref="BI38:BL38"/>
    <mergeCell ref="BP38:BT38"/>
    <mergeCell ref="BE35:BF35"/>
    <mergeCell ref="AW39:BB39"/>
    <mergeCell ref="BE39:BF39"/>
    <mergeCell ref="BI39:BL39"/>
    <mergeCell ref="BP39:BT39"/>
    <mergeCell ref="BE36:BF36"/>
    <mergeCell ref="BE37:BF37"/>
    <mergeCell ref="AW36:BB36"/>
    <mergeCell ref="AW37:BB37"/>
    <mergeCell ref="I46:L46"/>
    <mergeCell ref="M46:P46"/>
    <mergeCell ref="BE40:BF40"/>
    <mergeCell ref="I41:L41"/>
    <mergeCell ref="M41:P41"/>
    <mergeCell ref="Q41:T41"/>
    <mergeCell ref="U41:X41"/>
    <mergeCell ref="Y38:AE39"/>
    <mergeCell ref="AF38:AV39"/>
    <mergeCell ref="AF34:AV37"/>
    <mergeCell ref="AW41:BB41"/>
    <mergeCell ref="AW34:BB34"/>
    <mergeCell ref="Y40:AE41"/>
    <mergeCell ref="AF40:AV41"/>
    <mergeCell ref="AW35:BB35"/>
    <mergeCell ref="BE34:BF34"/>
    <mergeCell ref="A43:D43"/>
    <mergeCell ref="E43:H43"/>
    <mergeCell ref="I43:L43"/>
    <mergeCell ref="M43:P43"/>
    <mergeCell ref="Q43:T43"/>
    <mergeCell ref="U43:X43"/>
    <mergeCell ref="A42:D42"/>
    <mergeCell ref="E42:H42"/>
    <mergeCell ref="I42:L42"/>
    <mergeCell ref="M42:P42"/>
    <mergeCell ref="Q42:T42"/>
    <mergeCell ref="U42:X42"/>
    <mergeCell ref="A40:D40"/>
    <mergeCell ref="E40:H40"/>
    <mergeCell ref="I40:L40"/>
    <mergeCell ref="M40:P40"/>
    <mergeCell ref="Q40:T40"/>
    <mergeCell ref="U40:X40"/>
    <mergeCell ref="A41:D41"/>
    <mergeCell ref="E41:H41"/>
    <mergeCell ref="A36:X37"/>
    <mergeCell ref="A38:D38"/>
    <mergeCell ref="E38:H38"/>
    <mergeCell ref="I38:L38"/>
    <mergeCell ref="M38:P38"/>
    <mergeCell ref="Q38:T38"/>
    <mergeCell ref="U38:X38"/>
    <mergeCell ref="A39:D39"/>
    <mergeCell ref="E39:H39"/>
    <mergeCell ref="I39:L39"/>
    <mergeCell ref="M39:P39"/>
    <mergeCell ref="Q39:T39"/>
    <mergeCell ref="U39:X39"/>
    <mergeCell ref="A35:D35"/>
    <mergeCell ref="E35:H35"/>
    <mergeCell ref="W18:X18"/>
    <mergeCell ref="Q23:T23"/>
    <mergeCell ref="Q24:T24"/>
    <mergeCell ref="U18:V18"/>
    <mergeCell ref="U19:V19"/>
    <mergeCell ref="W19:X19"/>
    <mergeCell ref="U20:V20"/>
    <mergeCell ref="W20:X20"/>
    <mergeCell ref="U21:V21"/>
    <mergeCell ref="W21:X21"/>
    <mergeCell ref="U22:V22"/>
    <mergeCell ref="Q18:T18"/>
    <mergeCell ref="Q19:T19"/>
    <mergeCell ref="Q20:T20"/>
    <mergeCell ref="Q21:T21"/>
    <mergeCell ref="Q22:T22"/>
    <mergeCell ref="W22:X22"/>
    <mergeCell ref="M35:P35"/>
    <mergeCell ref="Q35:T35"/>
    <mergeCell ref="U35:X35"/>
    <mergeCell ref="M34:P34"/>
    <mergeCell ref="Q34:T34"/>
    <mergeCell ref="Y28:AB28"/>
    <mergeCell ref="Y29:AB29"/>
    <mergeCell ref="Y30:AB30"/>
    <mergeCell ref="Y31:AB31"/>
    <mergeCell ref="Y32:AB32"/>
    <mergeCell ref="Y33:AB33"/>
    <mergeCell ref="AH29:AI29"/>
    <mergeCell ref="AJ29:AM29"/>
    <mergeCell ref="AW32:BB32"/>
    <mergeCell ref="AW33:BB33"/>
    <mergeCell ref="AT31:AV31"/>
    <mergeCell ref="AT32:AV32"/>
    <mergeCell ref="AN28:AS28"/>
    <mergeCell ref="AN33:AS33"/>
    <mergeCell ref="AT33:AV33"/>
    <mergeCell ref="BE32:BF32"/>
    <mergeCell ref="BE33:BF33"/>
    <mergeCell ref="BE5:BF5"/>
    <mergeCell ref="BE6:BF6"/>
    <mergeCell ref="BE7:BF7"/>
    <mergeCell ref="BE8:BF8"/>
    <mergeCell ref="BE9:BF9"/>
    <mergeCell ref="BE22:BF22"/>
    <mergeCell ref="BE23:BF23"/>
    <mergeCell ref="BE24:BF24"/>
    <mergeCell ref="BE25:BF25"/>
    <mergeCell ref="AW26:BB26"/>
    <mergeCell ref="AW27:BB27"/>
    <mergeCell ref="AW28:BB28"/>
    <mergeCell ref="AW29:BB29"/>
    <mergeCell ref="AW30:BB30"/>
    <mergeCell ref="AW31:BB31"/>
    <mergeCell ref="AW20:BB20"/>
    <mergeCell ref="AW21:BB21"/>
    <mergeCell ref="AW22:BB22"/>
    <mergeCell ref="AW23:BB23"/>
    <mergeCell ref="AW24:BB24"/>
    <mergeCell ref="AW25:BB25"/>
    <mergeCell ref="AW14:BB14"/>
    <mergeCell ref="AW15:BB15"/>
    <mergeCell ref="AW16:BB16"/>
    <mergeCell ref="BE16:BF16"/>
    <mergeCell ref="AW17:BB17"/>
    <mergeCell ref="AW18:BB18"/>
    <mergeCell ref="AW19:BB19"/>
    <mergeCell ref="AW8:BB8"/>
    <mergeCell ref="AW9:BB9"/>
    <mergeCell ref="AW10:BB10"/>
    <mergeCell ref="AW11:BB11"/>
    <mergeCell ref="AW12:BB12"/>
    <mergeCell ref="AW13:BB13"/>
    <mergeCell ref="BE10:BF10"/>
    <mergeCell ref="BE11:BF11"/>
    <mergeCell ref="BE12:BF12"/>
    <mergeCell ref="BE13:BF13"/>
    <mergeCell ref="BE14:BF14"/>
    <mergeCell ref="BE15:BF15"/>
    <mergeCell ref="BP28:BT28"/>
    <mergeCell ref="BP29:BT29"/>
    <mergeCell ref="BP30:BT30"/>
    <mergeCell ref="BN40:BN46"/>
    <mergeCell ref="BO40:BO46"/>
    <mergeCell ref="BI43:BM46"/>
    <mergeCell ref="BP40:BT46"/>
    <mergeCell ref="BP22:BT22"/>
    <mergeCell ref="BP23:BT23"/>
    <mergeCell ref="BP24:BT24"/>
    <mergeCell ref="BP25:BT25"/>
    <mergeCell ref="BP26:BT26"/>
    <mergeCell ref="BP27:BT27"/>
    <mergeCell ref="BI28:BL28"/>
    <mergeCell ref="BI29:BL29"/>
    <mergeCell ref="BI30:BL30"/>
    <mergeCell ref="BI40:BL40"/>
    <mergeCell ref="BI41:BL41"/>
    <mergeCell ref="BI42:BL42"/>
    <mergeCell ref="BI22:BL22"/>
    <mergeCell ref="BI23:BL23"/>
    <mergeCell ref="BI24:BL24"/>
    <mergeCell ref="BI25:BL25"/>
    <mergeCell ref="BI26:BL26"/>
    <mergeCell ref="BI27:BL27"/>
    <mergeCell ref="BN20:BO20"/>
    <mergeCell ref="BI20:BL20"/>
    <mergeCell ref="BP20:BT20"/>
    <mergeCell ref="BI21:BL21"/>
    <mergeCell ref="BP21:BT21"/>
    <mergeCell ref="BO14:BP15"/>
    <mergeCell ref="BI16:BN16"/>
    <mergeCell ref="BO16:BP16"/>
    <mergeCell ref="BI17:BN17"/>
    <mergeCell ref="BO17:BP17"/>
    <mergeCell ref="BI18:BT19"/>
    <mergeCell ref="BQ14:BT17"/>
    <mergeCell ref="BG3:BH3"/>
    <mergeCell ref="BE3:BF3"/>
    <mergeCell ref="BC3:BD3"/>
    <mergeCell ref="AW3:BB3"/>
    <mergeCell ref="BI14:BN15"/>
    <mergeCell ref="AW4:BB4"/>
    <mergeCell ref="AW5:BB5"/>
    <mergeCell ref="AW6:BB6"/>
    <mergeCell ref="AW7:BB7"/>
    <mergeCell ref="BI10:BL10"/>
    <mergeCell ref="BI11:BL11"/>
    <mergeCell ref="BI12:BL12"/>
    <mergeCell ref="BI13:BL13"/>
    <mergeCell ref="BI7:BL7"/>
    <mergeCell ref="BI8:BL8"/>
    <mergeCell ref="BI9:BL9"/>
    <mergeCell ref="BI3:BL3"/>
    <mergeCell ref="BI4:BL4"/>
    <mergeCell ref="BI5:BL5"/>
    <mergeCell ref="BI6:BL6"/>
    <mergeCell ref="BM12:BN12"/>
    <mergeCell ref="BM8:BN8"/>
    <mergeCell ref="BM4:BN4"/>
    <mergeCell ref="BE4:BF4"/>
    <mergeCell ref="BO12:BP12"/>
    <mergeCell ref="BQ12:BR12"/>
    <mergeCell ref="BS12:BT12"/>
    <mergeCell ref="BM13:BN13"/>
    <mergeCell ref="BO13:BP13"/>
    <mergeCell ref="BQ13:BR13"/>
    <mergeCell ref="BS13:BT13"/>
    <mergeCell ref="BM10:BN10"/>
    <mergeCell ref="BO10:BP10"/>
    <mergeCell ref="BQ10:BR10"/>
    <mergeCell ref="BS10:BT10"/>
    <mergeCell ref="BM11:BN11"/>
    <mergeCell ref="BO11:BP11"/>
    <mergeCell ref="BQ11:BR11"/>
    <mergeCell ref="BS11:BT11"/>
    <mergeCell ref="BO8:BP8"/>
    <mergeCell ref="BQ8:BR8"/>
    <mergeCell ref="BS8:BT8"/>
    <mergeCell ref="BM9:BN9"/>
    <mergeCell ref="BO9:BP9"/>
    <mergeCell ref="BQ9:BR9"/>
    <mergeCell ref="BS9:BT9"/>
    <mergeCell ref="BM6:BN6"/>
    <mergeCell ref="BO6:BP6"/>
    <mergeCell ref="BQ6:BR6"/>
    <mergeCell ref="BS6:BT6"/>
    <mergeCell ref="BM7:BN7"/>
    <mergeCell ref="BO7:BP7"/>
    <mergeCell ref="BQ7:BR7"/>
    <mergeCell ref="BS7:BT7"/>
    <mergeCell ref="BS4:BT4"/>
    <mergeCell ref="BM5:BN5"/>
    <mergeCell ref="BO5:BP5"/>
    <mergeCell ref="BQ5:BR5"/>
    <mergeCell ref="BS5:BT5"/>
    <mergeCell ref="BM3:BN3"/>
    <mergeCell ref="BO3:BP3"/>
    <mergeCell ref="BQ3:BR3"/>
    <mergeCell ref="BS3:BT3"/>
    <mergeCell ref="BI1:BT2"/>
    <mergeCell ref="Y36:AB37"/>
    <mergeCell ref="AC36:AE37"/>
    <mergeCell ref="Y34:AB34"/>
    <mergeCell ref="AC34:AE34"/>
    <mergeCell ref="Y35:AB35"/>
    <mergeCell ref="AC35:AE35"/>
    <mergeCell ref="AW1:BH2"/>
    <mergeCell ref="AT7:AV7"/>
    <mergeCell ref="AT8:AV8"/>
    <mergeCell ref="AT9:AV9"/>
    <mergeCell ref="AT10:AV10"/>
    <mergeCell ref="AT11:AV11"/>
    <mergeCell ref="AT12:AV12"/>
    <mergeCell ref="AN15:AS15"/>
    <mergeCell ref="AN16:AS16"/>
    <mergeCell ref="AN17:AS17"/>
    <mergeCell ref="AN18:AS18"/>
    <mergeCell ref="BO4:BP4"/>
    <mergeCell ref="BQ4:BR4"/>
    <mergeCell ref="AT27:AV27"/>
    <mergeCell ref="AT28:AV28"/>
    <mergeCell ref="AT29:AV29"/>
    <mergeCell ref="AT30:AV30"/>
    <mergeCell ref="AN25:AS25"/>
    <mergeCell ref="AN26:AS26"/>
    <mergeCell ref="AN21:AS21"/>
    <mergeCell ref="AN22:AS22"/>
    <mergeCell ref="AT19:AV19"/>
    <mergeCell ref="AT20:AV20"/>
    <mergeCell ref="AN11:AS11"/>
    <mergeCell ref="AN12:AS12"/>
    <mergeCell ref="AN13:AS13"/>
    <mergeCell ref="AN14:AS14"/>
    <mergeCell ref="AT22:AV22"/>
    <mergeCell ref="AT23:AV23"/>
    <mergeCell ref="AT24:AV24"/>
    <mergeCell ref="AT25:AV25"/>
    <mergeCell ref="AT26:AV26"/>
    <mergeCell ref="AN19:AS19"/>
    <mergeCell ref="AN20:AS20"/>
    <mergeCell ref="AT13:AV13"/>
    <mergeCell ref="AT14:AV14"/>
    <mergeCell ref="AT15:AV15"/>
    <mergeCell ref="AT16:AV16"/>
    <mergeCell ref="AT17:AV17"/>
    <mergeCell ref="AT18:AV18"/>
    <mergeCell ref="AT21:AV21"/>
    <mergeCell ref="AU3:AV3"/>
    <mergeCell ref="AU4:AV4"/>
    <mergeCell ref="AC32:AE32"/>
    <mergeCell ref="AF32:AG32"/>
    <mergeCell ref="AH32:AI32"/>
    <mergeCell ref="AJ32:AM32"/>
    <mergeCell ref="AC33:AE33"/>
    <mergeCell ref="AF33:AG33"/>
    <mergeCell ref="AH33:AI33"/>
    <mergeCell ref="AJ33:AM33"/>
    <mergeCell ref="AC30:AE30"/>
    <mergeCell ref="AF30:AG30"/>
    <mergeCell ref="AH30:AI30"/>
    <mergeCell ref="AJ30:AM30"/>
    <mergeCell ref="AC31:AE31"/>
    <mergeCell ref="AF31:AG31"/>
    <mergeCell ref="AH31:AI31"/>
    <mergeCell ref="AJ31:AM31"/>
    <mergeCell ref="AC28:AE28"/>
    <mergeCell ref="AF28:AG28"/>
    <mergeCell ref="AH28:AI28"/>
    <mergeCell ref="AJ28:AM28"/>
    <mergeCell ref="AC29:AE29"/>
    <mergeCell ref="AF29:AG29"/>
    <mergeCell ref="AC26:AE26"/>
    <mergeCell ref="AF26:AG26"/>
    <mergeCell ref="AH26:AI26"/>
    <mergeCell ref="AJ26:AM26"/>
    <mergeCell ref="AC27:AE27"/>
    <mergeCell ref="AF27:AG27"/>
    <mergeCell ref="AH27:AI27"/>
    <mergeCell ref="AJ27:AM27"/>
    <mergeCell ref="AC24:AE24"/>
    <mergeCell ref="AF24:AG24"/>
    <mergeCell ref="AH24:AI24"/>
    <mergeCell ref="AJ24:AM24"/>
    <mergeCell ref="AC25:AE25"/>
    <mergeCell ref="AF25:AG25"/>
    <mergeCell ref="AH25:AI25"/>
    <mergeCell ref="AJ25:AM25"/>
    <mergeCell ref="AC22:AE22"/>
    <mergeCell ref="AF22:AG22"/>
    <mergeCell ref="AH22:AI22"/>
    <mergeCell ref="AJ22:AM22"/>
    <mergeCell ref="AC23:AE23"/>
    <mergeCell ref="AF23:AG23"/>
    <mergeCell ref="AH23:AI23"/>
    <mergeCell ref="AJ23:AM23"/>
    <mergeCell ref="AC20:AE20"/>
    <mergeCell ref="AF20:AG20"/>
    <mergeCell ref="AH20:AI20"/>
    <mergeCell ref="AJ20:AM20"/>
    <mergeCell ref="AC21:AE21"/>
    <mergeCell ref="AF21:AG21"/>
    <mergeCell ref="AH21:AI21"/>
    <mergeCell ref="AJ21:AM21"/>
    <mergeCell ref="AC18:AE18"/>
    <mergeCell ref="AF18:AG18"/>
    <mergeCell ref="AH18:AI18"/>
    <mergeCell ref="AJ18:AM18"/>
    <mergeCell ref="AC19:AE19"/>
    <mergeCell ref="AF19:AG19"/>
    <mergeCell ref="AH19:AI19"/>
    <mergeCell ref="AJ19:AM19"/>
    <mergeCell ref="AC16:AE16"/>
    <mergeCell ref="AF16:AG16"/>
    <mergeCell ref="AH16:AI16"/>
    <mergeCell ref="AJ16:AM16"/>
    <mergeCell ref="AC17:AE17"/>
    <mergeCell ref="AF17:AG17"/>
    <mergeCell ref="AH17:AI17"/>
    <mergeCell ref="AJ17:AM17"/>
    <mergeCell ref="AC14:AE14"/>
    <mergeCell ref="AF14:AG14"/>
    <mergeCell ref="AH14:AI14"/>
    <mergeCell ref="AJ14:AM14"/>
    <mergeCell ref="AC15:AE15"/>
    <mergeCell ref="AF15:AG15"/>
    <mergeCell ref="AH15:AI15"/>
    <mergeCell ref="AJ15:AM15"/>
    <mergeCell ref="AC12:AE12"/>
    <mergeCell ref="AF12:AG12"/>
    <mergeCell ref="AH12:AI12"/>
    <mergeCell ref="AJ12:AM12"/>
    <mergeCell ref="AC13:AE13"/>
    <mergeCell ref="AF13:AG13"/>
    <mergeCell ref="AH13:AI13"/>
    <mergeCell ref="AJ13:AM13"/>
    <mergeCell ref="AC10:AE10"/>
    <mergeCell ref="AF10:AG10"/>
    <mergeCell ref="AH10:AI10"/>
    <mergeCell ref="AJ10:AM10"/>
    <mergeCell ref="AC11:AE11"/>
    <mergeCell ref="AF11:AG11"/>
    <mergeCell ref="AH11:AI11"/>
    <mergeCell ref="AJ11:AM11"/>
    <mergeCell ref="AC8:AE8"/>
    <mergeCell ref="AF8:AG8"/>
    <mergeCell ref="AH8:AI8"/>
    <mergeCell ref="AJ8:AM8"/>
    <mergeCell ref="AC9:AE9"/>
    <mergeCell ref="AF9:AG9"/>
    <mergeCell ref="AH9:AI9"/>
    <mergeCell ref="AJ9:AM9"/>
    <mergeCell ref="AF6:AG6"/>
    <mergeCell ref="AH6:AI6"/>
    <mergeCell ref="AJ6:AM6"/>
    <mergeCell ref="AC7:AE7"/>
    <mergeCell ref="AF7:AG7"/>
    <mergeCell ref="AH7:AI7"/>
    <mergeCell ref="AJ7:AM7"/>
    <mergeCell ref="AC4:AE4"/>
    <mergeCell ref="AF4:AG4"/>
    <mergeCell ref="AH4:AI4"/>
    <mergeCell ref="AJ4:AM4"/>
    <mergeCell ref="AC5:AE5"/>
    <mergeCell ref="AF5:AG5"/>
    <mergeCell ref="AH5:AI5"/>
    <mergeCell ref="AJ5:AM5"/>
    <mergeCell ref="AC6:AE6"/>
    <mergeCell ref="Y22:AB22"/>
    <mergeCell ref="Y23:AB23"/>
    <mergeCell ref="Y24:AB24"/>
    <mergeCell ref="Y25:AB25"/>
    <mergeCell ref="Y26:AB26"/>
    <mergeCell ref="Y27:AB27"/>
    <mergeCell ref="Y16:AB16"/>
    <mergeCell ref="Y17:AB17"/>
    <mergeCell ref="Y18:AB18"/>
    <mergeCell ref="Y19:AB19"/>
    <mergeCell ref="Y20:AB20"/>
    <mergeCell ref="Y21:AB21"/>
    <mergeCell ref="Y10:AB10"/>
    <mergeCell ref="Y11:AB11"/>
    <mergeCell ref="Y12:AB12"/>
    <mergeCell ref="Y13:AB13"/>
    <mergeCell ref="Y14:AB14"/>
    <mergeCell ref="Y15:AB15"/>
    <mergeCell ref="Y4:AB4"/>
    <mergeCell ref="Y5:AB5"/>
    <mergeCell ref="Y6:AB6"/>
    <mergeCell ref="Y7:AB7"/>
    <mergeCell ref="Y8:AB8"/>
    <mergeCell ref="Y9:AB9"/>
    <mergeCell ref="Y1:AM2"/>
    <mergeCell ref="Y3:AB3"/>
    <mergeCell ref="AC3:AE3"/>
    <mergeCell ref="AF3:AG3"/>
    <mergeCell ref="AH3:AI3"/>
    <mergeCell ref="AJ3:AM3"/>
    <mergeCell ref="Q16:X17"/>
    <mergeCell ref="M33:P33"/>
    <mergeCell ref="Q33:T33"/>
    <mergeCell ref="U33:X33"/>
    <mergeCell ref="A14:X15"/>
    <mergeCell ref="A1:D2"/>
    <mergeCell ref="E1:H2"/>
    <mergeCell ref="I1:L2"/>
    <mergeCell ref="M1:X2"/>
    <mergeCell ref="M19:P19"/>
    <mergeCell ref="A26:D26"/>
    <mergeCell ref="E26:H26"/>
    <mergeCell ref="I26:L26"/>
    <mergeCell ref="A25:D25"/>
    <mergeCell ref="E25:H25"/>
    <mergeCell ref="A32:D32"/>
    <mergeCell ref="E32:H32"/>
    <mergeCell ref="I32:L32"/>
    <mergeCell ref="U34:X34"/>
    <mergeCell ref="A23:D23"/>
    <mergeCell ref="E23:H23"/>
    <mergeCell ref="M32:P32"/>
    <mergeCell ref="Q32:T32"/>
    <mergeCell ref="U32:X32"/>
    <mergeCell ref="A33:D33"/>
    <mergeCell ref="E33:H33"/>
    <mergeCell ref="I33:L33"/>
    <mergeCell ref="A31:D31"/>
    <mergeCell ref="E31:H31"/>
    <mergeCell ref="I31:L31"/>
    <mergeCell ref="A27:D27"/>
    <mergeCell ref="E27:H27"/>
    <mergeCell ref="I27:L27"/>
    <mergeCell ref="A28:D28"/>
    <mergeCell ref="E28:H28"/>
    <mergeCell ref="A29:D29"/>
    <mergeCell ref="E29:H29"/>
    <mergeCell ref="A34:D34"/>
    <mergeCell ref="E34:H34"/>
    <mergeCell ref="U31:X31"/>
    <mergeCell ref="I18:L18"/>
    <mergeCell ref="M27:P27"/>
    <mergeCell ref="Q27:T27"/>
    <mergeCell ref="U27:X27"/>
    <mergeCell ref="A21:D21"/>
    <mergeCell ref="E21:H21"/>
    <mergeCell ref="I21:L21"/>
    <mergeCell ref="M30:P30"/>
    <mergeCell ref="Q30:T30"/>
    <mergeCell ref="U30:X30"/>
    <mergeCell ref="A20:D20"/>
    <mergeCell ref="E20:H20"/>
    <mergeCell ref="I20:L20"/>
    <mergeCell ref="M29:P29"/>
    <mergeCell ref="Q29:T29"/>
    <mergeCell ref="U29:X29"/>
    <mergeCell ref="I25:L25"/>
    <mergeCell ref="Y42:AE42"/>
    <mergeCell ref="AF42:AV42"/>
    <mergeCell ref="Y43:AV46"/>
    <mergeCell ref="O12:R12"/>
    <mergeCell ref="M16:P16"/>
    <mergeCell ref="M17:P17"/>
    <mergeCell ref="A12:D12"/>
    <mergeCell ref="A13:D13"/>
    <mergeCell ref="O13:R13"/>
    <mergeCell ref="M18:P18"/>
    <mergeCell ref="A19:D19"/>
    <mergeCell ref="E19:H19"/>
    <mergeCell ref="I19:L19"/>
    <mergeCell ref="M28:P28"/>
    <mergeCell ref="Q28:T28"/>
    <mergeCell ref="U28:X28"/>
    <mergeCell ref="A16:L17"/>
    <mergeCell ref="M25:X26"/>
    <mergeCell ref="A18:D18"/>
    <mergeCell ref="E18:H18"/>
    <mergeCell ref="A22:D22"/>
    <mergeCell ref="E22:H22"/>
    <mergeCell ref="M31:P31"/>
    <mergeCell ref="Q31:T31"/>
  </mergeCells>
  <conditionalFormatting sqref="M17:P17">
    <cfRule type="expression" dxfId="1005" priority="574">
      <formula>NOT($M$1="Select Your God")</formula>
    </cfRule>
    <cfRule type="expression" dxfId="1004" priority="576">
      <formula>NOT($M$17="Select")</formula>
    </cfRule>
    <cfRule type="containsText" dxfId="1003" priority="577" operator="containsText" text="Select">
      <formula>NOT(ISERROR(SEARCH("Select",M17)))</formula>
    </cfRule>
  </conditionalFormatting>
  <conditionalFormatting sqref="M19:P19">
    <cfRule type="containsText" dxfId="1002" priority="575" operator="containsText" text="Select">
      <formula>NOT(ISERROR(SEARCH("Select",M19)))</formula>
    </cfRule>
  </conditionalFormatting>
  <conditionalFormatting sqref="E13">
    <cfRule type="expression" dxfId="1001" priority="573">
      <formula>$M$1="Select Your Calling"</formula>
    </cfRule>
  </conditionalFormatting>
  <conditionalFormatting sqref="S13">
    <cfRule type="expression" dxfId="1000" priority="572">
      <formula>$M$1="Select Your Nature"</formula>
    </cfRule>
  </conditionalFormatting>
  <conditionalFormatting sqref="E22:H22 E28:H28 E34:H34">
    <cfRule type="expression" dxfId="999" priority="571">
      <formula>$M$1="Prioritize Your Attribute Groups"</formula>
    </cfRule>
  </conditionalFormatting>
  <conditionalFormatting sqref="E22:H22">
    <cfRule type="expression" dxfId="998" priority="567">
      <formula>AND(NOT($E$22="Select"),OR($E$22=$E$28,$E$34=$E$22))</formula>
    </cfRule>
    <cfRule type="expression" dxfId="997" priority="570">
      <formula>AND($M$1="Prioritize Attribute Groups",NOT($E$22="Select"))</formula>
    </cfRule>
  </conditionalFormatting>
  <conditionalFormatting sqref="E28:H28">
    <cfRule type="expression" dxfId="996" priority="566">
      <formula>AND(NOT($E$28="select"),OR($E$28=$E$22,$E$28=$E$34))</formula>
    </cfRule>
    <cfRule type="expression" dxfId="995" priority="569">
      <formula>AND($M$1="Prioritize Attribute Groups",NOT($E$28="Select"))</formula>
    </cfRule>
  </conditionalFormatting>
  <conditionalFormatting sqref="E34:H34">
    <cfRule type="expression" dxfId="994" priority="565">
      <formula>AND(NOT($E$34="Select"),OR($E$34=$E$28,$E$34=$E$22))</formula>
    </cfRule>
    <cfRule type="expression" dxfId="993" priority="568">
      <formula>AND($M$1="Prioritize Attribute Groups",NOT($E$34="Select"))</formula>
    </cfRule>
  </conditionalFormatting>
  <conditionalFormatting sqref="E19:H21">
    <cfRule type="expression" dxfId="992" priority="563">
      <formula>$E$23&lt;0</formula>
    </cfRule>
    <cfRule type="expression" dxfId="991" priority="564">
      <formula>AND($M$1="Select Physical Attributes",$E$23&gt;0)</formula>
    </cfRule>
  </conditionalFormatting>
  <conditionalFormatting sqref="E31:H33">
    <cfRule type="expression" dxfId="990" priority="561">
      <formula>$E$35&lt;0</formula>
    </cfRule>
    <cfRule type="expression" dxfId="989" priority="562">
      <formula>AND($M$1="Select Mental Attributes",$E$35&gt;0)</formula>
    </cfRule>
  </conditionalFormatting>
  <conditionalFormatting sqref="E25:H27">
    <cfRule type="expression" dxfId="988" priority="559">
      <formula>$E$29&lt;0</formula>
    </cfRule>
    <cfRule type="expression" dxfId="987" priority="560">
      <formula>AND($M$1="Select Social Attributes",$E$29&gt;0)</formula>
    </cfRule>
  </conditionalFormatting>
  <conditionalFormatting sqref="AC4:AE33">
    <cfRule type="expression" dxfId="986" priority="540">
      <formula>$AC$35&lt;0</formula>
    </cfRule>
    <cfRule type="cellIs" dxfId="985" priority="542" operator="greaterThan">
      <formula>3</formula>
    </cfRule>
    <cfRule type="cellIs" dxfId="984" priority="543" operator="equal">
      <formula>3</formula>
    </cfRule>
    <cfRule type="expression" dxfId="983" priority="558">
      <formula>AND($M$1="Select Abilities",$AC$35&gt;0)</formula>
    </cfRule>
  </conditionalFormatting>
  <conditionalFormatting sqref="Y24:AB33">
    <cfRule type="notContainsText" dxfId="982" priority="556" operator="notContains" text="Special">
      <formula>ISERROR(SEARCH("Special",Y24))</formula>
    </cfRule>
    <cfRule type="expression" dxfId="981" priority="557">
      <formula>AND($M$1="Select Abilities",$AC$35&gt;0)</formula>
    </cfRule>
  </conditionalFormatting>
  <conditionalFormatting sqref="AJ24:AM24">
    <cfRule type="expression" dxfId="980" priority="555">
      <formula>NOT(Y24="Special")</formula>
    </cfRule>
  </conditionalFormatting>
  <conditionalFormatting sqref="AJ25:AM25">
    <cfRule type="expression" dxfId="979" priority="553">
      <formula>NOT(Y25="Special")</formula>
    </cfRule>
  </conditionalFormatting>
  <conditionalFormatting sqref="AJ26:AM26">
    <cfRule type="expression" dxfId="978" priority="552">
      <formula>NOT(Y26="Special")</formula>
    </cfRule>
  </conditionalFormatting>
  <conditionalFormatting sqref="AJ27:AM27">
    <cfRule type="expression" dxfId="977" priority="551">
      <formula>NOT(Y27="Special")</formula>
    </cfRule>
  </conditionalFormatting>
  <conditionalFormatting sqref="AJ28:AM28">
    <cfRule type="expression" dxfId="976" priority="550">
      <formula>NOT(Y28="Special")</formula>
    </cfRule>
  </conditionalFormatting>
  <conditionalFormatting sqref="AJ29:AM29">
    <cfRule type="expression" dxfId="975" priority="549">
      <formula>NOT(Y29="Special")</formula>
    </cfRule>
  </conditionalFormatting>
  <conditionalFormatting sqref="AJ30:AM30">
    <cfRule type="expression" dxfId="974" priority="548">
      <formula>NOT(Y30="Special")</formula>
    </cfRule>
  </conditionalFormatting>
  <conditionalFormatting sqref="AJ31:AM31">
    <cfRule type="expression" dxfId="973" priority="547">
      <formula>NOT(Y31="Special")</formula>
    </cfRule>
  </conditionalFormatting>
  <conditionalFormatting sqref="AJ32:AM32">
    <cfRule type="expression" dxfId="972" priority="546">
      <formula>NOT(Y32="Special")</formula>
    </cfRule>
  </conditionalFormatting>
  <conditionalFormatting sqref="AJ33:AM33">
    <cfRule type="expression" dxfId="971" priority="545">
      <formula>NOT(Y33="Special")</formula>
    </cfRule>
  </conditionalFormatting>
  <conditionalFormatting sqref="AJ24:AM33">
    <cfRule type="notContainsBlanks" dxfId="970" priority="544">
      <formula>LEN(TRIM(AJ24))&gt;0</formula>
    </cfRule>
  </conditionalFormatting>
  <conditionalFormatting sqref="AC4:AE33 Y24:AB33 AJ24:AM33">
    <cfRule type="expression" dxfId="969" priority="541">
      <formula>NOT($M$1="Select Abilities")</formula>
    </cfRule>
  </conditionalFormatting>
  <conditionalFormatting sqref="AW4:BC46 BO4:BP12">
    <cfRule type="expression" dxfId="968" priority="383">
      <formula>$BO$16&lt;0</formula>
    </cfRule>
    <cfRule type="expression" dxfId="967" priority="460">
      <formula>NOT($M$1="Select Advantages")</formula>
    </cfRule>
    <cfRule type="expression" dxfId="966" priority="539">
      <formula>$M$1="Select Advantages"</formula>
    </cfRule>
  </conditionalFormatting>
  <conditionalFormatting sqref="BI21:BL39">
    <cfRule type="expression" dxfId="965" priority="468">
      <formula>$BM$41=0</formula>
    </cfRule>
    <cfRule type="notContainsText" dxfId="964" priority="469" operator="notContains" text="Select Type">
      <formula>ISERROR(SEARCH("Select Type",BI21))</formula>
    </cfRule>
    <cfRule type="expression" dxfId="963" priority="538">
      <formula>$M$1="Select Your Birthrights"</formula>
    </cfRule>
  </conditionalFormatting>
  <conditionalFormatting sqref="BP21:BT21">
    <cfRule type="expression" dxfId="962" priority="537">
      <formula>NOT(BI21="Select Type")</formula>
    </cfRule>
  </conditionalFormatting>
  <conditionalFormatting sqref="BP22:BT22">
    <cfRule type="expression" dxfId="961" priority="518">
      <formula>NOT(BI22="Select Type")</formula>
    </cfRule>
  </conditionalFormatting>
  <conditionalFormatting sqref="BP23:BT23">
    <cfRule type="expression" dxfId="960" priority="517">
      <formula>NOT(BI23="Select Type")</formula>
    </cfRule>
  </conditionalFormatting>
  <conditionalFormatting sqref="BP24:BT24">
    <cfRule type="expression" dxfId="959" priority="516">
      <formula>NOT(BI24="Select Type")</formula>
    </cfRule>
  </conditionalFormatting>
  <conditionalFormatting sqref="BP25:BT25">
    <cfRule type="expression" dxfId="958" priority="515">
      <formula>NOT(BI25="Select Type")</formula>
    </cfRule>
  </conditionalFormatting>
  <conditionalFormatting sqref="BP26:BT26">
    <cfRule type="expression" dxfId="957" priority="514">
      <formula>NOT(BI26="Select Type")</formula>
    </cfRule>
  </conditionalFormatting>
  <conditionalFormatting sqref="BP27:BT27">
    <cfRule type="expression" dxfId="956" priority="513">
      <formula>NOT(BI27="Select Type")</formula>
    </cfRule>
  </conditionalFormatting>
  <conditionalFormatting sqref="BP28:BT28">
    <cfRule type="expression" dxfId="955" priority="512">
      <formula>NOT(BI28="Select Type")</formula>
    </cfRule>
  </conditionalFormatting>
  <conditionalFormatting sqref="BP29:BT29">
    <cfRule type="expression" dxfId="954" priority="511">
      <formula>NOT(BI29="Select Type")</formula>
    </cfRule>
  </conditionalFormatting>
  <conditionalFormatting sqref="BP30:BT30">
    <cfRule type="expression" dxfId="953" priority="510">
      <formula>NOT(BI30="Select Type")</formula>
    </cfRule>
  </conditionalFormatting>
  <conditionalFormatting sqref="BP31:BT31">
    <cfRule type="expression" dxfId="952" priority="509">
      <formula>NOT(BI31="Select Type")</formula>
    </cfRule>
  </conditionalFormatting>
  <conditionalFormatting sqref="BP32:BT32">
    <cfRule type="expression" dxfId="951" priority="508">
      <formula>NOT(BI32="Select Type")</formula>
    </cfRule>
  </conditionalFormatting>
  <conditionalFormatting sqref="BP33:BT33">
    <cfRule type="expression" dxfId="950" priority="507">
      <formula>NOT(BI33="Select Type")</formula>
    </cfRule>
  </conditionalFormatting>
  <conditionalFormatting sqref="BP34:BT34">
    <cfRule type="expression" dxfId="949" priority="506">
      <formula>NOT(BI34="Select Type")</formula>
    </cfRule>
  </conditionalFormatting>
  <conditionalFormatting sqref="BP35:BT35">
    <cfRule type="expression" dxfId="948" priority="505">
      <formula>NOT(BI35="Select Type")</formula>
    </cfRule>
  </conditionalFormatting>
  <conditionalFormatting sqref="BP36:BT36">
    <cfRule type="expression" dxfId="947" priority="504">
      <formula>NOT(BI36="Select Type")</formula>
    </cfRule>
  </conditionalFormatting>
  <conditionalFormatting sqref="BP37:BT37">
    <cfRule type="expression" dxfId="946" priority="503">
      <formula>NOT(BI37="Select Type")</formula>
    </cfRule>
  </conditionalFormatting>
  <conditionalFormatting sqref="BP38:BT38">
    <cfRule type="expression" dxfId="945" priority="502">
      <formula>NOT(BI38="Select Type")</formula>
    </cfRule>
  </conditionalFormatting>
  <conditionalFormatting sqref="BP39:BT39">
    <cfRule type="expression" dxfId="944" priority="501">
      <formula>NOT(BI39="Select Type")</formula>
    </cfRule>
  </conditionalFormatting>
  <conditionalFormatting sqref="BM21">
    <cfRule type="expression" dxfId="943" priority="500">
      <formula>NOT(BI21="Select Type")</formula>
    </cfRule>
  </conditionalFormatting>
  <conditionalFormatting sqref="BM22">
    <cfRule type="expression" dxfId="942" priority="499">
      <formula>NOT(BI22="Select Type")</formula>
    </cfRule>
  </conditionalFormatting>
  <conditionalFormatting sqref="BM23">
    <cfRule type="expression" dxfId="941" priority="498">
      <formula>NOT(BI23="Select Type")</formula>
    </cfRule>
  </conditionalFormatting>
  <conditionalFormatting sqref="BM24">
    <cfRule type="expression" dxfId="940" priority="497">
      <formula>NOT(BI24="Select Type")</formula>
    </cfRule>
  </conditionalFormatting>
  <conditionalFormatting sqref="BM25">
    <cfRule type="expression" dxfId="939" priority="496">
      <formula>NOT(BI25="Select Type")</formula>
    </cfRule>
  </conditionalFormatting>
  <conditionalFormatting sqref="BM26">
    <cfRule type="expression" dxfId="938" priority="495">
      <formula>NOT(BI26="Select Type")</formula>
    </cfRule>
  </conditionalFormatting>
  <conditionalFormatting sqref="BM27">
    <cfRule type="expression" dxfId="937" priority="493">
      <formula>NOT(BI27="Select Type")</formula>
    </cfRule>
  </conditionalFormatting>
  <conditionalFormatting sqref="BM28">
    <cfRule type="expression" dxfId="936" priority="492">
      <formula>NOT(BI28="Select Type")</formula>
    </cfRule>
  </conditionalFormatting>
  <conditionalFormatting sqref="BM29">
    <cfRule type="expression" dxfId="935" priority="491">
      <formula>NOT(BI29="Select Type")</formula>
    </cfRule>
  </conditionalFormatting>
  <conditionalFormatting sqref="BM30">
    <cfRule type="expression" dxfId="934" priority="490">
      <formula>NOT(BI30="Select Type")</formula>
    </cfRule>
  </conditionalFormatting>
  <conditionalFormatting sqref="BM31">
    <cfRule type="expression" dxfId="933" priority="489">
      <formula>NOT(BI31="Select Type")</formula>
    </cfRule>
  </conditionalFormatting>
  <conditionalFormatting sqref="BM37">
    <cfRule type="expression" dxfId="932" priority="481">
      <formula>NOT(BI37="Select Type")</formula>
    </cfRule>
  </conditionalFormatting>
  <conditionalFormatting sqref="BM38">
    <cfRule type="expression" dxfId="931" priority="479">
      <formula>NOT(BI38="Select Type")</formula>
    </cfRule>
  </conditionalFormatting>
  <conditionalFormatting sqref="BM39">
    <cfRule type="expression" dxfId="930" priority="478">
      <formula>NOT(BI39="Select Type")</formula>
    </cfRule>
  </conditionalFormatting>
  <conditionalFormatting sqref="BM36">
    <cfRule type="expression" dxfId="929" priority="477">
      <formula>NOT(BI36="Select Type")</formula>
    </cfRule>
  </conditionalFormatting>
  <conditionalFormatting sqref="BM35">
    <cfRule type="expression" dxfId="928" priority="476">
      <formula>NOT(BI35="Select Type")</formula>
    </cfRule>
  </conditionalFormatting>
  <conditionalFormatting sqref="BM34">
    <cfRule type="expression" dxfId="927" priority="475">
      <formula>NOT(BI34="Select Type")</formula>
    </cfRule>
  </conditionalFormatting>
  <conditionalFormatting sqref="BM33">
    <cfRule type="expression" dxfId="926" priority="474">
      <formula>NOT(BI33="Select Type")</formula>
    </cfRule>
  </conditionalFormatting>
  <conditionalFormatting sqref="BM32">
    <cfRule type="expression" dxfId="925" priority="473">
      <formula>NOT(BI32="Select Type")</formula>
    </cfRule>
  </conditionalFormatting>
  <conditionalFormatting sqref="BP21:BT39">
    <cfRule type="notContainsBlanks" dxfId="924" priority="472">
      <formula>LEN(TRIM(BP21))&gt;0</formula>
    </cfRule>
  </conditionalFormatting>
  <conditionalFormatting sqref="BM21:BM39">
    <cfRule type="expression" dxfId="923" priority="465">
      <formula>$BM$41&lt;0</formula>
    </cfRule>
    <cfRule type="cellIs" dxfId="922" priority="466" operator="greaterThan">
      <formula>3</formula>
    </cfRule>
    <cfRule type="expression" dxfId="921" priority="470">
      <formula>$BM$42="Yes"</formula>
    </cfRule>
    <cfRule type="cellIs" dxfId="920" priority="471" operator="equal">
      <formula>3</formula>
    </cfRule>
  </conditionalFormatting>
  <conditionalFormatting sqref="AW4:BB46">
    <cfRule type="notContainsBlanks" dxfId="919" priority="464">
      <formula>LEN(TRIM(AW4))&gt;0</formula>
    </cfRule>
  </conditionalFormatting>
  <conditionalFormatting sqref="BC4:BC46">
    <cfRule type="notContainsBlanks" dxfId="918" priority="462">
      <formula>LEN(TRIM(BC4))&gt;0</formula>
    </cfRule>
    <cfRule type="expression" dxfId="917" priority="463">
      <formula>$BO$16=0</formula>
    </cfRule>
  </conditionalFormatting>
  <conditionalFormatting sqref="BC4">
    <cfRule type="expression" dxfId="916" priority="459">
      <formula>BC4&gt;$AU$3+$AU$4-1</formula>
    </cfRule>
  </conditionalFormatting>
  <conditionalFormatting sqref="BC5">
    <cfRule type="expression" dxfId="915" priority="458">
      <formula>BC5&gt;$AU$3+$AU$4-1</formula>
    </cfRule>
  </conditionalFormatting>
  <conditionalFormatting sqref="BC6">
    <cfRule type="expression" dxfId="914" priority="457">
      <formula>BC6&gt;$AU$3+$AU$4-1</formula>
    </cfRule>
  </conditionalFormatting>
  <conditionalFormatting sqref="BC7">
    <cfRule type="expression" dxfId="913" priority="456">
      <formula>BC7&gt;$AU$3+$AU$4-1</formula>
    </cfRule>
  </conditionalFormatting>
  <conditionalFormatting sqref="BC8">
    <cfRule type="expression" dxfId="912" priority="455">
      <formula>BC8&gt;$AU$3+$AU$4-1</formula>
    </cfRule>
  </conditionalFormatting>
  <conditionalFormatting sqref="BC9">
    <cfRule type="expression" dxfId="911" priority="454">
      <formula>BC9&gt;$AU$3+$AU$4-1</formula>
    </cfRule>
  </conditionalFormatting>
  <conditionalFormatting sqref="BC10">
    <cfRule type="expression" dxfId="910" priority="453">
      <formula>BC10&gt;$AU$3+$AU$4-1</formula>
    </cfRule>
  </conditionalFormatting>
  <conditionalFormatting sqref="BC11">
    <cfRule type="expression" dxfId="909" priority="452">
      <formula>BC11&gt;$AU$3+$AU$4-1</formula>
    </cfRule>
  </conditionalFormatting>
  <conditionalFormatting sqref="BC12">
    <cfRule type="expression" dxfId="908" priority="451">
      <formula>BC12&gt;$AU$3+$AU$4-1</formula>
    </cfRule>
  </conditionalFormatting>
  <conditionalFormatting sqref="BC13">
    <cfRule type="expression" dxfId="907" priority="450">
      <formula>BC13&gt;$AU$3+$AU$4-1</formula>
    </cfRule>
  </conditionalFormatting>
  <conditionalFormatting sqref="BC14">
    <cfRule type="expression" dxfId="906" priority="449">
      <formula>BC14&gt;$AU$3+$AU$4-1</formula>
    </cfRule>
  </conditionalFormatting>
  <conditionalFormatting sqref="BC15">
    <cfRule type="expression" dxfId="905" priority="448">
      <formula>BC15&gt;$AU$3+$AU$4-1</formula>
    </cfRule>
  </conditionalFormatting>
  <conditionalFormatting sqref="BC16">
    <cfRule type="expression" dxfId="904" priority="447">
      <formula>BC16&gt;$AU$3+$AU$4-1</formula>
    </cfRule>
  </conditionalFormatting>
  <conditionalFormatting sqref="BC17">
    <cfRule type="expression" dxfId="903" priority="446">
      <formula>BC17&gt;$AU$3+$AU$4-1</formula>
    </cfRule>
  </conditionalFormatting>
  <conditionalFormatting sqref="BC18">
    <cfRule type="expression" dxfId="902" priority="445">
      <formula>BC18&gt;$AU$3+$AU$4-1</formula>
    </cfRule>
  </conditionalFormatting>
  <conditionalFormatting sqref="BC19">
    <cfRule type="expression" dxfId="901" priority="444">
      <formula>BC19&gt;$AU$3+$AU$4-1</formula>
    </cfRule>
  </conditionalFormatting>
  <conditionalFormatting sqref="BC20">
    <cfRule type="expression" dxfId="900" priority="443">
      <formula>BC20&gt;$AU$3+$AU$4-1</formula>
    </cfRule>
  </conditionalFormatting>
  <conditionalFormatting sqref="BC21">
    <cfRule type="expression" dxfId="899" priority="442">
      <formula>BC21&gt;$AU$3+$AU$4-1</formula>
    </cfRule>
  </conditionalFormatting>
  <conditionalFormatting sqref="BC22">
    <cfRule type="expression" dxfId="898" priority="441">
      <formula>BC22&gt;$AU$3+$AU$4-1</formula>
    </cfRule>
  </conditionalFormatting>
  <conditionalFormatting sqref="BC23">
    <cfRule type="expression" dxfId="897" priority="440">
      <formula>BC23&gt;$AU$3+$AU$4-1</formula>
    </cfRule>
  </conditionalFormatting>
  <conditionalFormatting sqref="BC24">
    <cfRule type="expression" dxfId="896" priority="439">
      <formula>BC24&gt;$AU$3+$AU$4-1</formula>
    </cfRule>
  </conditionalFormatting>
  <conditionalFormatting sqref="BC25">
    <cfRule type="expression" dxfId="895" priority="438">
      <formula>BC25&gt;$AU$3+$AU$4-1</formula>
    </cfRule>
  </conditionalFormatting>
  <conditionalFormatting sqref="BC26">
    <cfRule type="expression" dxfId="894" priority="437">
      <formula>BC26&gt;$AU$3+$AU$4-1</formula>
    </cfRule>
  </conditionalFormatting>
  <conditionalFormatting sqref="BC27">
    <cfRule type="expression" dxfId="893" priority="436">
      <formula>BC27&gt;$AU$3+$AU$4-1</formula>
    </cfRule>
  </conditionalFormatting>
  <conditionalFormatting sqref="BC28">
    <cfRule type="expression" dxfId="892" priority="435">
      <formula>BC28&gt;$AU$3+$AU$4-1</formula>
    </cfRule>
  </conditionalFormatting>
  <conditionalFormatting sqref="BC5">
    <cfRule type="expression" dxfId="891" priority="434">
      <formula>BC5&gt;$AU$3+$AU$4-1</formula>
    </cfRule>
  </conditionalFormatting>
  <conditionalFormatting sqref="BC6">
    <cfRule type="expression" dxfId="890" priority="433">
      <formula>BC6&gt;$AU$3+$AU$4-1</formula>
    </cfRule>
  </conditionalFormatting>
  <conditionalFormatting sqref="BC7">
    <cfRule type="expression" dxfId="889" priority="432">
      <formula>BC7&gt;$AU$3+$AU$4-1</formula>
    </cfRule>
  </conditionalFormatting>
  <conditionalFormatting sqref="BC8">
    <cfRule type="expression" dxfId="888" priority="431">
      <formula>BC8&gt;$AU$3+$AU$4-1</formula>
    </cfRule>
  </conditionalFormatting>
  <conditionalFormatting sqref="BC9">
    <cfRule type="expression" dxfId="887" priority="430">
      <formula>BC9&gt;$AU$3+$AU$4-1</formula>
    </cfRule>
  </conditionalFormatting>
  <conditionalFormatting sqref="BC10">
    <cfRule type="expression" dxfId="886" priority="429">
      <formula>BC10&gt;$AU$3+$AU$4-1</formula>
    </cfRule>
  </conditionalFormatting>
  <conditionalFormatting sqref="BC11">
    <cfRule type="expression" dxfId="885" priority="428">
      <formula>BC11&gt;$AU$3+$AU$4-1</formula>
    </cfRule>
  </conditionalFormatting>
  <conditionalFormatting sqref="BC12">
    <cfRule type="expression" dxfId="884" priority="427">
      <formula>BC12&gt;$AU$3+$AU$4-1</formula>
    </cfRule>
  </conditionalFormatting>
  <conditionalFormatting sqref="BC13">
    <cfRule type="expression" dxfId="883" priority="426">
      <formula>BC13&gt;$AU$3+$AU$4-1</formula>
    </cfRule>
  </conditionalFormatting>
  <conditionalFormatting sqref="BC14">
    <cfRule type="expression" dxfId="882" priority="425">
      <formula>BC14&gt;$AU$3+$AU$4-1</formula>
    </cfRule>
  </conditionalFormatting>
  <conditionalFormatting sqref="BC15">
    <cfRule type="expression" dxfId="881" priority="424">
      <formula>BC15&gt;$AU$3+$AU$4-1</formula>
    </cfRule>
  </conditionalFormatting>
  <conditionalFormatting sqref="BC16">
    <cfRule type="expression" dxfId="880" priority="423">
      <formula>BC16&gt;$AU$3+$AU$4-1</formula>
    </cfRule>
  </conditionalFormatting>
  <conditionalFormatting sqref="BC17">
    <cfRule type="expression" dxfId="879" priority="422">
      <formula>BC17&gt;$AU$3+$AU$4-1</formula>
    </cfRule>
  </conditionalFormatting>
  <conditionalFormatting sqref="BC18">
    <cfRule type="expression" dxfId="878" priority="421">
      <formula>BC18&gt;$AU$3+$AU$4-1</formula>
    </cfRule>
  </conditionalFormatting>
  <conditionalFormatting sqref="BC19">
    <cfRule type="expression" dxfId="877" priority="420">
      <formula>BC19&gt;$AU$3+$AU$4-1</formula>
    </cfRule>
  </conditionalFormatting>
  <conditionalFormatting sqref="BC20">
    <cfRule type="expression" dxfId="876" priority="419">
      <formula>BC20&gt;$AU$3+$AU$4-1</formula>
    </cfRule>
  </conditionalFormatting>
  <conditionalFormatting sqref="BC21">
    <cfRule type="expression" dxfId="875" priority="418">
      <formula>BC21&gt;$AU$3+$AU$4-1</formula>
    </cfRule>
  </conditionalFormatting>
  <conditionalFormatting sqref="BC22">
    <cfRule type="expression" dxfId="874" priority="417">
      <formula>BC22&gt;$AU$3+$AU$4-1</formula>
    </cfRule>
  </conditionalFormatting>
  <conditionalFormatting sqref="BC23">
    <cfRule type="expression" dxfId="873" priority="416">
      <formula>BC23&gt;$AU$3+$AU$4-1</formula>
    </cfRule>
  </conditionalFormatting>
  <conditionalFormatting sqref="BC24">
    <cfRule type="expression" dxfId="872" priority="415">
      <formula>BC24&gt;$AU$3+$AU$4-1</formula>
    </cfRule>
  </conditionalFormatting>
  <conditionalFormatting sqref="BC25">
    <cfRule type="expression" dxfId="871" priority="414">
      <formula>BC25&gt;$AU$3+$AU$4-1</formula>
    </cfRule>
  </conditionalFormatting>
  <conditionalFormatting sqref="BC26">
    <cfRule type="expression" dxfId="870" priority="413">
      <formula>BC26&gt;$AU$3+$AU$4-1</formula>
    </cfRule>
  </conditionalFormatting>
  <conditionalFormatting sqref="BC27">
    <cfRule type="expression" dxfId="869" priority="412">
      <formula>BC27&gt;$AU$3+$AU$4-1</formula>
    </cfRule>
  </conditionalFormatting>
  <conditionalFormatting sqref="BC28">
    <cfRule type="expression" dxfId="868" priority="411">
      <formula>BC28&gt;$AU$3+$AU$4-1</formula>
    </cfRule>
  </conditionalFormatting>
  <conditionalFormatting sqref="BC29">
    <cfRule type="expression" dxfId="867" priority="410">
      <formula>BC29&gt;$AU$3+$AU$4-1</formula>
    </cfRule>
  </conditionalFormatting>
  <conditionalFormatting sqref="BC30">
    <cfRule type="expression" dxfId="866" priority="409">
      <formula>BC30&gt;$AU$3+$AU$4-1</formula>
    </cfRule>
  </conditionalFormatting>
  <conditionalFormatting sqref="BC31">
    <cfRule type="expression" dxfId="865" priority="408">
      <formula>BC31&gt;$AU$3+$AU$4-1</formula>
    </cfRule>
  </conditionalFormatting>
  <conditionalFormatting sqref="BC32">
    <cfRule type="expression" dxfId="864" priority="407">
      <formula>BC32&gt;$AU$3+$AU$4-1</formula>
    </cfRule>
  </conditionalFormatting>
  <conditionalFormatting sqref="BC33">
    <cfRule type="expression" dxfId="863" priority="406">
      <formula>BC33&gt;$AU$3+$AU$4-1</formula>
    </cfRule>
  </conditionalFormatting>
  <conditionalFormatting sqref="BC34">
    <cfRule type="expression" dxfId="862" priority="405">
      <formula>BC34&gt;$AU$3+$AU$4-1</formula>
    </cfRule>
  </conditionalFormatting>
  <conditionalFormatting sqref="BC35">
    <cfRule type="expression" dxfId="861" priority="404">
      <formula>BC35&gt;$AU$3+$AU$4-1</formula>
    </cfRule>
  </conditionalFormatting>
  <conditionalFormatting sqref="BC36">
    <cfRule type="expression" dxfId="860" priority="403">
      <formula>BC36&gt;$AU$3+$AU$4-1</formula>
    </cfRule>
  </conditionalFormatting>
  <conditionalFormatting sqref="BC37">
    <cfRule type="expression" dxfId="859" priority="402">
      <formula>BC37&gt;$AU$3+$AU$4-1</formula>
    </cfRule>
  </conditionalFormatting>
  <conditionalFormatting sqref="BC38">
    <cfRule type="expression" dxfId="858" priority="401">
      <formula>BC38&gt;$AU$3+$AU$4-1</formula>
    </cfRule>
  </conditionalFormatting>
  <conditionalFormatting sqref="BC39">
    <cfRule type="expression" dxfId="857" priority="400">
      <formula>BC39&gt;$AU$3+$AU$4-1</formula>
    </cfRule>
  </conditionalFormatting>
  <conditionalFormatting sqref="BC40">
    <cfRule type="expression" dxfId="856" priority="399">
      <formula>BC40&gt;$AU$3+$AU$4-1</formula>
    </cfRule>
  </conditionalFormatting>
  <conditionalFormatting sqref="BC41">
    <cfRule type="expression" dxfId="855" priority="398">
      <formula>BC41&gt;$AU$3+$AU$4-1</formula>
    </cfRule>
  </conditionalFormatting>
  <conditionalFormatting sqref="BC42">
    <cfRule type="expression" dxfId="854" priority="397">
      <formula>BC42&gt;$AU$3+$AU$4-1</formula>
    </cfRule>
  </conditionalFormatting>
  <conditionalFormatting sqref="BC43">
    <cfRule type="expression" dxfId="853" priority="396">
      <formula>BC43&gt;$AU$3+$AU$4-1</formula>
    </cfRule>
  </conditionalFormatting>
  <conditionalFormatting sqref="BC44">
    <cfRule type="expression" dxfId="852" priority="395">
      <formula>BC44&gt;$AU$3+$AU$4-1</formula>
    </cfRule>
  </conditionalFormatting>
  <conditionalFormatting sqref="BC45">
    <cfRule type="expression" dxfId="851" priority="394">
      <formula>BC45&gt;$AU$3+$AU$4-1</formula>
    </cfRule>
  </conditionalFormatting>
  <conditionalFormatting sqref="BC46">
    <cfRule type="expression" dxfId="850" priority="384">
      <formula>BC46&gt;$AU$3+$AU$4-1</formula>
    </cfRule>
  </conditionalFormatting>
  <conditionalFormatting sqref="BO4:BP4">
    <cfRule type="expression" dxfId="849" priority="382">
      <formula>$BO$4&gt;$BM$4-1</formula>
    </cfRule>
    <cfRule type="expression" dxfId="848" priority="393">
      <formula>BO4&gt;$AU$3+$AU$4-1</formula>
    </cfRule>
  </conditionalFormatting>
  <conditionalFormatting sqref="BO5:BP5">
    <cfRule type="expression" dxfId="847" priority="392">
      <formula>BO5&gt;$AU$3+$AU$4-1</formula>
    </cfRule>
  </conditionalFormatting>
  <conditionalFormatting sqref="BO6:BP6">
    <cfRule type="expression" dxfId="846" priority="391">
      <formula>BO6&gt;$AU$3+$AU$4-1</formula>
    </cfRule>
  </conditionalFormatting>
  <conditionalFormatting sqref="BO7:BP7">
    <cfRule type="expression" dxfId="845" priority="390">
      <formula>BO7&gt;$AU$3+$AU$4-1</formula>
    </cfRule>
  </conditionalFormatting>
  <conditionalFormatting sqref="BO8:BP8">
    <cfRule type="expression" dxfId="844" priority="389">
      <formula>BO8&gt;$AU$3+$AU$4-1</formula>
    </cfRule>
  </conditionalFormatting>
  <conditionalFormatting sqref="BO9:BP9">
    <cfRule type="expression" dxfId="843" priority="388">
      <formula>BO9&gt;$AU$3+$AU$4-1</formula>
    </cfRule>
  </conditionalFormatting>
  <conditionalFormatting sqref="BO10:BP10">
    <cfRule type="expression" dxfId="842" priority="387">
      <formula>BO10&gt;$AU$3+$AU$4-1</formula>
    </cfRule>
  </conditionalFormatting>
  <conditionalFormatting sqref="BO11:BP11">
    <cfRule type="expression" dxfId="841" priority="386">
      <formula>BO11&gt;$AU$3+$AU$4-1</formula>
    </cfRule>
  </conditionalFormatting>
  <conditionalFormatting sqref="BO12:BP12">
    <cfRule type="expression" dxfId="840" priority="385">
      <formula>BO12&gt;$AU$3+$AU$4-1</formula>
    </cfRule>
  </conditionalFormatting>
  <conditionalFormatting sqref="AW4:BB46 BO4:BP12">
    <cfRule type="expression" dxfId="839" priority="461">
      <formula>$BO$16=0</formula>
    </cfRule>
  </conditionalFormatting>
  <conditionalFormatting sqref="BO5:BP5">
    <cfRule type="expression" dxfId="838" priority="380">
      <formula>$BO$4&gt;$BM$4-1</formula>
    </cfRule>
    <cfRule type="expression" dxfId="837" priority="381">
      <formula>BO5&gt;$AU$3+$AU$4-1</formula>
    </cfRule>
  </conditionalFormatting>
  <conditionalFormatting sqref="BO6:BP6">
    <cfRule type="expression" dxfId="836" priority="378">
      <formula>$BO$4&gt;$BM$4-1</formula>
    </cfRule>
    <cfRule type="expression" dxfId="835" priority="379">
      <formula>BO6&gt;$AU$3+$AU$4-1</formula>
    </cfRule>
  </conditionalFormatting>
  <conditionalFormatting sqref="BO7:BP7">
    <cfRule type="expression" dxfId="834" priority="376">
      <formula>$BO$4&gt;$BM$4-1</formula>
    </cfRule>
    <cfRule type="expression" dxfId="833" priority="377">
      <formula>BO7&gt;$AU$3+$AU$4-1</formula>
    </cfRule>
  </conditionalFormatting>
  <conditionalFormatting sqref="BO8:BP8">
    <cfRule type="expression" dxfId="832" priority="374">
      <formula>$BO$4&gt;$BM$4-1</formula>
    </cfRule>
    <cfRule type="expression" dxfId="831" priority="375">
      <formula>BO8&gt;$AU$3+$AU$4-1</formula>
    </cfRule>
  </conditionalFormatting>
  <conditionalFormatting sqref="BO9:BP9">
    <cfRule type="expression" dxfId="830" priority="372">
      <formula>$BO$4&gt;$BM$4-1</formula>
    </cfRule>
    <cfRule type="expression" dxfId="829" priority="373">
      <formula>BO9&gt;$AU$3+$AU$4-1</formula>
    </cfRule>
  </conditionalFormatting>
  <conditionalFormatting sqref="BO10:BP10">
    <cfRule type="expression" dxfId="828" priority="370">
      <formula>$BO$4&gt;$BM$4-1</formula>
    </cfRule>
    <cfRule type="expression" dxfId="827" priority="371">
      <formula>BO10&gt;$AU$3+$AU$4-1</formula>
    </cfRule>
  </conditionalFormatting>
  <conditionalFormatting sqref="BO11:BP11">
    <cfRule type="expression" dxfId="826" priority="368">
      <formula>$BO$4&gt;$BM$4-1</formula>
    </cfRule>
    <cfRule type="expression" dxfId="825" priority="369">
      <formula>BO11&gt;$AU$3+$AU$4-1</formula>
    </cfRule>
  </conditionalFormatting>
  <conditionalFormatting sqref="BO12:BP12">
    <cfRule type="expression" dxfId="824" priority="366">
      <formula>$BO$4&gt;$BM$4-1</formula>
    </cfRule>
    <cfRule type="expression" dxfId="823" priority="367">
      <formula>BO12&gt;$AU$3+$AU$4-1</formula>
    </cfRule>
  </conditionalFormatting>
  <conditionalFormatting sqref="U19:V22">
    <cfRule type="cellIs" dxfId="822" priority="1" operator="lessThan">
      <formula>1</formula>
    </cfRule>
    <cfRule type="expression" dxfId="821" priority="361">
      <formula>$U$23&lt;0</formula>
    </cfRule>
    <cfRule type="cellIs" dxfId="820" priority="362" operator="greaterThan">
      <formula>4</formula>
    </cfRule>
    <cfRule type="expression" dxfId="819" priority="363">
      <formula>NOT($M$1="Select Virtues")</formula>
    </cfRule>
    <cfRule type="cellIs" dxfId="818" priority="364" operator="equal">
      <formula>4</formula>
    </cfRule>
    <cfRule type="expression" dxfId="817" priority="365">
      <formula>$M$1="Select Virtues"</formula>
    </cfRule>
  </conditionalFormatting>
  <conditionalFormatting sqref="O23:P23 AU4:AV4 BH4:BH46 BN21:BO21 I19:L21 I25:L27 I31:L33 W19:X22 BQ4:BR4 AF4:AG4">
    <cfRule type="expression" dxfId="816" priority="360">
      <formula>$M$1="Spend Bonus Points"</formula>
    </cfRule>
  </conditionalFormatting>
  <conditionalFormatting sqref="O23:P23 AU4:AV4 BH4:BH46 BN21:BO21 I19:L21 I25:L27 I31:L33 W19:X22 BQ4:BR4 AF4:AG4">
    <cfRule type="expression" dxfId="815" priority="289">
      <formula>$M$45&lt;0</formula>
    </cfRule>
  </conditionalFormatting>
  <conditionalFormatting sqref="I19:L19">
    <cfRule type="expression" dxfId="814" priority="357">
      <formula>I19+E19&gt;5</formula>
    </cfRule>
    <cfRule type="expression" dxfId="813" priority="358">
      <formula>I19+E19=5</formula>
    </cfRule>
  </conditionalFormatting>
  <conditionalFormatting sqref="I20:L20">
    <cfRule type="expression" dxfId="812" priority="355">
      <formula>I20+E20&gt;5</formula>
    </cfRule>
    <cfRule type="expression" dxfId="811" priority="356">
      <formula>I20+E20=5</formula>
    </cfRule>
  </conditionalFormatting>
  <conditionalFormatting sqref="I21:L21">
    <cfRule type="expression" dxfId="810" priority="353">
      <formula>I21+E21&gt;5</formula>
    </cfRule>
    <cfRule type="expression" dxfId="809" priority="354">
      <formula>I21+E21=5</formula>
    </cfRule>
  </conditionalFormatting>
  <conditionalFormatting sqref="I25:L25">
    <cfRule type="expression" dxfId="808" priority="351">
      <formula>I25+E25&gt;5</formula>
    </cfRule>
    <cfRule type="expression" dxfId="807" priority="352">
      <formula>I25+E25=5</formula>
    </cfRule>
  </conditionalFormatting>
  <conditionalFormatting sqref="I26:L26">
    <cfRule type="expression" dxfId="806" priority="349">
      <formula>I26+E26&gt;5</formula>
    </cfRule>
    <cfRule type="expression" dxfId="805" priority="350">
      <formula>I26+E26=5</formula>
    </cfRule>
  </conditionalFormatting>
  <conditionalFormatting sqref="I27:L27">
    <cfRule type="expression" dxfId="804" priority="347">
      <formula>I27+E27&gt;5</formula>
    </cfRule>
    <cfRule type="expression" dxfId="803" priority="348">
      <formula>I27+E27=5</formula>
    </cfRule>
  </conditionalFormatting>
  <conditionalFormatting sqref="I31:L31">
    <cfRule type="expression" dxfId="802" priority="345">
      <formula>I31+E31&gt;5</formula>
    </cfRule>
    <cfRule type="expression" dxfId="801" priority="346">
      <formula>I31+E31=5</formula>
    </cfRule>
  </conditionalFormatting>
  <conditionalFormatting sqref="I32:L32">
    <cfRule type="expression" dxfId="800" priority="343">
      <formula>I32+E32&gt;5</formula>
    </cfRule>
    <cfRule type="expression" dxfId="799" priority="344">
      <formula>I32+E32=5</formula>
    </cfRule>
  </conditionalFormatting>
  <conditionalFormatting sqref="I33:L33">
    <cfRule type="expression" dxfId="798" priority="341">
      <formula>I33+E33&gt;5</formula>
    </cfRule>
    <cfRule type="expression" dxfId="797" priority="342">
      <formula>I33+E33=5</formula>
    </cfRule>
  </conditionalFormatting>
  <conditionalFormatting sqref="E19:H21 E25:H27 E31:H33">
    <cfRule type="cellIs" dxfId="796" priority="340" operator="greaterThan">
      <formula>5</formula>
    </cfRule>
  </conditionalFormatting>
  <conditionalFormatting sqref="W19:X19">
    <cfRule type="expression" dxfId="795" priority="339">
      <formula>W19+U19&gt;5</formula>
    </cfRule>
  </conditionalFormatting>
  <conditionalFormatting sqref="W20:X20">
    <cfRule type="expression" dxfId="794" priority="338">
      <formula>W20+U20&gt;5</formula>
    </cfRule>
  </conditionalFormatting>
  <conditionalFormatting sqref="W21:X21">
    <cfRule type="expression" dxfId="793" priority="337">
      <formula>W21+U21&gt;5</formula>
    </cfRule>
  </conditionalFormatting>
  <conditionalFormatting sqref="W22:X22">
    <cfRule type="expression" dxfId="792" priority="336">
      <formula>W22+U22&gt;5</formula>
    </cfRule>
  </conditionalFormatting>
  <conditionalFormatting sqref="O23:P23">
    <cfRule type="expression" dxfId="791" priority="335">
      <formula>$O$24&gt;10</formula>
    </cfRule>
  </conditionalFormatting>
  <conditionalFormatting sqref="AF4:AG4">
    <cfRule type="expression" dxfId="790" priority="293">
      <formula>AF4+AC4&gt;5</formula>
    </cfRule>
    <cfRule type="expression" dxfId="789" priority="359">
      <formula>AF4+AC4=5</formula>
    </cfRule>
  </conditionalFormatting>
  <conditionalFormatting sqref="BQ4:BR4">
    <cfRule type="expression" dxfId="788" priority="292">
      <formula>OR(BQ4+BO4&gt;BM4,BQ4+BO4&gt;$AU$3+$AU$4-1)</formula>
    </cfRule>
    <cfRule type="expression" dxfId="787" priority="334">
      <formula>OR(BQ4+BO4=BM4,BQ4+BO4=$AU$3+$AU$4-1)</formula>
    </cfRule>
  </conditionalFormatting>
  <conditionalFormatting sqref="BN21">
    <cfRule type="expression" dxfId="786" priority="290">
      <formula>BN21+BM21&gt;3</formula>
    </cfRule>
    <cfRule type="expression" dxfId="785" priority="291">
      <formula>BN21+BM21=3</formula>
    </cfRule>
  </conditionalFormatting>
  <conditionalFormatting sqref="BO21">
    <cfRule type="expression" dxfId="784" priority="287">
      <formula>BO21&gt;2</formula>
    </cfRule>
    <cfRule type="expression" dxfId="783" priority="333">
      <formula>BO21=2</formula>
    </cfRule>
  </conditionalFormatting>
  <conditionalFormatting sqref="AF5:AG5">
    <cfRule type="expression" dxfId="782" priority="262">
      <formula>$M$1="Spend Bonus Points"</formula>
    </cfRule>
  </conditionalFormatting>
  <conditionalFormatting sqref="AF5:AG5">
    <cfRule type="expression" dxfId="781" priority="260">
      <formula>$M$45&lt;0</formula>
    </cfRule>
  </conditionalFormatting>
  <conditionalFormatting sqref="AF5:AG5">
    <cfRule type="expression" dxfId="780" priority="259">
      <formula>AF5+AC5&gt;5</formula>
    </cfRule>
    <cfRule type="expression" dxfId="779" priority="261">
      <formula>AF5+AC5=5</formula>
    </cfRule>
  </conditionalFormatting>
  <conditionalFormatting sqref="AF6:AG6">
    <cfRule type="expression" dxfId="778" priority="258">
      <formula>$M$1="Spend Bonus Points"</formula>
    </cfRule>
  </conditionalFormatting>
  <conditionalFormatting sqref="AF6:AG6">
    <cfRule type="expression" dxfId="777" priority="256">
      <formula>$M$45&lt;0</formula>
    </cfRule>
  </conditionalFormatting>
  <conditionalFormatting sqref="AF6:AG6">
    <cfRule type="expression" dxfId="776" priority="255">
      <formula>AF6+AC6&gt;5</formula>
    </cfRule>
    <cfRule type="expression" dxfId="775" priority="257">
      <formula>AF6+AC6=5</formula>
    </cfRule>
  </conditionalFormatting>
  <conditionalFormatting sqref="AF7:AG7">
    <cfRule type="expression" dxfId="774" priority="254">
      <formula>$M$1="Spend Bonus Points"</formula>
    </cfRule>
  </conditionalFormatting>
  <conditionalFormatting sqref="AF7:AG7">
    <cfRule type="expression" dxfId="773" priority="252">
      <formula>$M$45&lt;0</formula>
    </cfRule>
  </conditionalFormatting>
  <conditionalFormatting sqref="AF7:AG7">
    <cfRule type="expression" dxfId="772" priority="251">
      <formula>AF7+AC7&gt;5</formula>
    </cfRule>
    <cfRule type="expression" dxfId="771" priority="253">
      <formula>AF7+AC7=5</formula>
    </cfRule>
  </conditionalFormatting>
  <conditionalFormatting sqref="AF8:AG8">
    <cfRule type="expression" dxfId="770" priority="250">
      <formula>$M$1="Spend Bonus Points"</formula>
    </cfRule>
  </conditionalFormatting>
  <conditionalFormatting sqref="AF8:AG8">
    <cfRule type="expression" dxfId="769" priority="248">
      <formula>$M$45&lt;0</formula>
    </cfRule>
  </conditionalFormatting>
  <conditionalFormatting sqref="AF8:AG8">
    <cfRule type="expression" dxfId="768" priority="247">
      <formula>AF8+AC8&gt;5</formula>
    </cfRule>
    <cfRule type="expression" dxfId="767" priority="249">
      <formula>AF8+AC8=5</formula>
    </cfRule>
  </conditionalFormatting>
  <conditionalFormatting sqref="AF9:AG9">
    <cfRule type="expression" dxfId="766" priority="246">
      <formula>$M$1="Spend Bonus Points"</formula>
    </cfRule>
  </conditionalFormatting>
  <conditionalFormatting sqref="AF9:AG9">
    <cfRule type="expression" dxfId="765" priority="244">
      <formula>$M$45&lt;0</formula>
    </cfRule>
  </conditionalFormatting>
  <conditionalFormatting sqref="AF9:AG9">
    <cfRule type="expression" dxfId="764" priority="243">
      <formula>AF9+AC9&gt;5</formula>
    </cfRule>
    <cfRule type="expression" dxfId="763" priority="245">
      <formula>AF9+AC9=5</formula>
    </cfRule>
  </conditionalFormatting>
  <conditionalFormatting sqref="AF10:AG10">
    <cfRule type="expression" dxfId="762" priority="242">
      <formula>$M$1="Spend Bonus Points"</formula>
    </cfRule>
  </conditionalFormatting>
  <conditionalFormatting sqref="AF10:AG10">
    <cfRule type="expression" dxfId="761" priority="240">
      <formula>$M$45&lt;0</formula>
    </cfRule>
  </conditionalFormatting>
  <conditionalFormatting sqref="AF10:AG10">
    <cfRule type="expression" dxfId="760" priority="239">
      <formula>AF10+AC10&gt;5</formula>
    </cfRule>
    <cfRule type="expression" dxfId="759" priority="241">
      <formula>AF10+AC10=5</formula>
    </cfRule>
  </conditionalFormatting>
  <conditionalFormatting sqref="AF11:AG11">
    <cfRule type="expression" dxfId="758" priority="238">
      <formula>$M$1="Spend Bonus Points"</formula>
    </cfRule>
  </conditionalFormatting>
  <conditionalFormatting sqref="AF11:AG11">
    <cfRule type="expression" dxfId="757" priority="236">
      <formula>$M$45&lt;0</formula>
    </cfRule>
  </conditionalFormatting>
  <conditionalFormatting sqref="AF11:AG11">
    <cfRule type="expression" dxfId="756" priority="235">
      <formula>AF11+AC11&gt;5</formula>
    </cfRule>
    <cfRule type="expression" dxfId="755" priority="237">
      <formula>AF11+AC11=5</formula>
    </cfRule>
  </conditionalFormatting>
  <conditionalFormatting sqref="AF12:AG12">
    <cfRule type="expression" dxfId="754" priority="234">
      <formula>$M$1="Spend Bonus Points"</formula>
    </cfRule>
  </conditionalFormatting>
  <conditionalFormatting sqref="AF12:AG12">
    <cfRule type="expression" dxfId="753" priority="232">
      <formula>$M$45&lt;0</formula>
    </cfRule>
  </conditionalFormatting>
  <conditionalFormatting sqref="AF12:AG12">
    <cfRule type="expression" dxfId="752" priority="231">
      <formula>AF12+AC12&gt;5</formula>
    </cfRule>
    <cfRule type="expression" dxfId="751" priority="233">
      <formula>AF12+AC12=5</formula>
    </cfRule>
  </conditionalFormatting>
  <conditionalFormatting sqref="AF13:AG13">
    <cfRule type="expression" dxfId="750" priority="230">
      <formula>$M$1="Spend Bonus Points"</formula>
    </cfRule>
  </conditionalFormatting>
  <conditionalFormatting sqref="AF13:AG13">
    <cfRule type="expression" dxfId="749" priority="228">
      <formula>$M$45&lt;0</formula>
    </cfRule>
  </conditionalFormatting>
  <conditionalFormatting sqref="AF13:AG13">
    <cfRule type="expression" dxfId="748" priority="227">
      <formula>AF13+AC13&gt;5</formula>
    </cfRule>
    <cfRule type="expression" dxfId="747" priority="229">
      <formula>AF13+AC13=5</formula>
    </cfRule>
  </conditionalFormatting>
  <conditionalFormatting sqref="AF14:AG14">
    <cfRule type="expression" dxfId="746" priority="226">
      <formula>$M$1="Spend Bonus Points"</formula>
    </cfRule>
  </conditionalFormatting>
  <conditionalFormatting sqref="AF14:AG14">
    <cfRule type="expression" dxfId="745" priority="224">
      <formula>$M$45&lt;0</formula>
    </cfRule>
  </conditionalFormatting>
  <conditionalFormatting sqref="AF14:AG14">
    <cfRule type="expression" dxfId="744" priority="223">
      <formula>AF14+AC14&gt;5</formula>
    </cfRule>
    <cfRule type="expression" dxfId="743" priority="225">
      <formula>AF14+AC14=5</formula>
    </cfRule>
  </conditionalFormatting>
  <conditionalFormatting sqref="AF15:AG15">
    <cfRule type="expression" dxfId="742" priority="222">
      <formula>$M$1="Spend Bonus Points"</formula>
    </cfRule>
  </conditionalFormatting>
  <conditionalFormatting sqref="AF15:AG15">
    <cfRule type="expression" dxfId="741" priority="220">
      <formula>$M$45&lt;0</formula>
    </cfRule>
  </conditionalFormatting>
  <conditionalFormatting sqref="AF15:AG15">
    <cfRule type="expression" dxfId="740" priority="219">
      <formula>AF15+AC15&gt;5</formula>
    </cfRule>
    <cfRule type="expression" dxfId="739" priority="221">
      <formula>AF15+AC15=5</formula>
    </cfRule>
  </conditionalFormatting>
  <conditionalFormatting sqref="AF16:AG16">
    <cfRule type="expression" dxfId="738" priority="218">
      <formula>$M$1="Spend Bonus Points"</formula>
    </cfRule>
  </conditionalFormatting>
  <conditionalFormatting sqref="AF16:AG16">
    <cfRule type="expression" dxfId="737" priority="216">
      <formula>$M$45&lt;0</formula>
    </cfRule>
  </conditionalFormatting>
  <conditionalFormatting sqref="AF16:AG16">
    <cfRule type="expression" dxfId="736" priority="215">
      <formula>AF16+AC16&gt;5</formula>
    </cfRule>
    <cfRule type="expression" dxfId="735" priority="217">
      <formula>AF16+AC16=5</formula>
    </cfRule>
  </conditionalFormatting>
  <conditionalFormatting sqref="AF17:AG17">
    <cfRule type="expression" dxfId="734" priority="214">
      <formula>$M$1="Spend Bonus Points"</formula>
    </cfRule>
  </conditionalFormatting>
  <conditionalFormatting sqref="AF17:AG17">
    <cfRule type="expression" dxfId="733" priority="212">
      <formula>$M$45&lt;0</formula>
    </cfRule>
  </conditionalFormatting>
  <conditionalFormatting sqref="AF17:AG17">
    <cfRule type="expression" dxfId="732" priority="211">
      <formula>AF17+AC17&gt;5</formula>
    </cfRule>
    <cfRule type="expression" dxfId="731" priority="213">
      <formula>AF17+AC17=5</formula>
    </cfRule>
  </conditionalFormatting>
  <conditionalFormatting sqref="AF18:AG18">
    <cfRule type="expression" dxfId="730" priority="210">
      <formula>$M$1="Spend Bonus Points"</formula>
    </cfRule>
  </conditionalFormatting>
  <conditionalFormatting sqref="AF18:AG18">
    <cfRule type="expression" dxfId="729" priority="208">
      <formula>$M$45&lt;0</formula>
    </cfRule>
  </conditionalFormatting>
  <conditionalFormatting sqref="AF18:AG18">
    <cfRule type="expression" dxfId="728" priority="207">
      <formula>AF18+AC18&gt;5</formula>
    </cfRule>
    <cfRule type="expression" dxfId="727" priority="209">
      <formula>AF18+AC18=5</formula>
    </cfRule>
  </conditionalFormatting>
  <conditionalFormatting sqref="AF19:AG19">
    <cfRule type="expression" dxfId="726" priority="206">
      <formula>$M$1="Spend Bonus Points"</formula>
    </cfRule>
  </conditionalFormatting>
  <conditionalFormatting sqref="AF19:AG19">
    <cfRule type="expression" dxfId="725" priority="204">
      <formula>$M$45&lt;0</formula>
    </cfRule>
  </conditionalFormatting>
  <conditionalFormatting sqref="AF19:AG19">
    <cfRule type="expression" dxfId="724" priority="203">
      <formula>AF19+AC19&gt;5</formula>
    </cfRule>
    <cfRule type="expression" dxfId="723" priority="205">
      <formula>AF19+AC19=5</formula>
    </cfRule>
  </conditionalFormatting>
  <conditionalFormatting sqref="AF20:AG20">
    <cfRule type="expression" dxfId="722" priority="202">
      <formula>$M$1="Spend Bonus Points"</formula>
    </cfRule>
  </conditionalFormatting>
  <conditionalFormatting sqref="AF20:AG20">
    <cfRule type="expression" dxfId="721" priority="200">
      <formula>$M$45&lt;0</formula>
    </cfRule>
  </conditionalFormatting>
  <conditionalFormatting sqref="AF20:AG20">
    <cfRule type="expression" dxfId="720" priority="199">
      <formula>AF20+AC20&gt;5</formula>
    </cfRule>
    <cfRule type="expression" dxfId="719" priority="201">
      <formula>AF20+AC20=5</formula>
    </cfRule>
  </conditionalFormatting>
  <conditionalFormatting sqref="AF21:AG21">
    <cfRule type="expression" dxfId="718" priority="198">
      <formula>$M$1="Spend Bonus Points"</formula>
    </cfRule>
  </conditionalFormatting>
  <conditionalFormatting sqref="AF21:AG21">
    <cfRule type="expression" dxfId="717" priority="196">
      <formula>$M$45&lt;0</formula>
    </cfRule>
  </conditionalFormatting>
  <conditionalFormatting sqref="AF21:AG21">
    <cfRule type="expression" dxfId="716" priority="195">
      <formula>AF21+AC21&gt;5</formula>
    </cfRule>
    <cfRule type="expression" dxfId="715" priority="197">
      <formula>AF21+AC21=5</formula>
    </cfRule>
  </conditionalFormatting>
  <conditionalFormatting sqref="AF22:AG22">
    <cfRule type="expression" dxfId="714" priority="194">
      <formula>$M$1="Spend Bonus Points"</formula>
    </cfRule>
  </conditionalFormatting>
  <conditionalFormatting sqref="AF22:AG22">
    <cfRule type="expression" dxfId="713" priority="192">
      <formula>$M$45&lt;0</formula>
    </cfRule>
  </conditionalFormatting>
  <conditionalFormatting sqref="AF22:AG22">
    <cfRule type="expression" dxfId="712" priority="191">
      <formula>AF22+AC22&gt;5</formula>
    </cfRule>
    <cfRule type="expression" dxfId="711" priority="193">
      <formula>AF22+AC22=5</formula>
    </cfRule>
  </conditionalFormatting>
  <conditionalFormatting sqref="AF23:AG23">
    <cfRule type="expression" dxfId="710" priority="190">
      <formula>$M$1="Spend Bonus Points"</formula>
    </cfRule>
  </conditionalFormatting>
  <conditionalFormatting sqref="AF23:AG23">
    <cfRule type="expression" dxfId="709" priority="188">
      <formula>$M$45&lt;0</formula>
    </cfRule>
  </conditionalFormatting>
  <conditionalFormatting sqref="AF23:AG23">
    <cfRule type="expression" dxfId="708" priority="187">
      <formula>AF23+AC23&gt;5</formula>
    </cfRule>
    <cfRule type="expression" dxfId="707" priority="189">
      <formula>AF23+AC23=5</formula>
    </cfRule>
  </conditionalFormatting>
  <conditionalFormatting sqref="AF24:AG24">
    <cfRule type="expression" dxfId="706" priority="186">
      <formula>$M$1="Spend Bonus Points"</formula>
    </cfRule>
  </conditionalFormatting>
  <conditionalFormatting sqref="AF24:AG24">
    <cfRule type="expression" dxfId="705" priority="184">
      <formula>$M$45&lt;0</formula>
    </cfRule>
  </conditionalFormatting>
  <conditionalFormatting sqref="AF24:AG24">
    <cfRule type="expression" dxfId="704" priority="183">
      <formula>AF24+AC24&gt;5</formula>
    </cfRule>
    <cfRule type="expression" dxfId="703" priority="185">
      <formula>AF24+AC24=5</formula>
    </cfRule>
  </conditionalFormatting>
  <conditionalFormatting sqref="AF25:AG25">
    <cfRule type="expression" dxfId="702" priority="182">
      <formula>$M$1="Spend Bonus Points"</formula>
    </cfRule>
  </conditionalFormatting>
  <conditionalFormatting sqref="AF25:AG25">
    <cfRule type="expression" dxfId="701" priority="180">
      <formula>$M$45&lt;0</formula>
    </cfRule>
  </conditionalFormatting>
  <conditionalFormatting sqref="AF25:AG25">
    <cfRule type="expression" dxfId="700" priority="179">
      <formula>AF25+AC25&gt;5</formula>
    </cfRule>
    <cfRule type="expression" dxfId="699" priority="181">
      <formula>AF25+AC25=5</formula>
    </cfRule>
  </conditionalFormatting>
  <conditionalFormatting sqref="AF26:AG26">
    <cfRule type="expression" dxfId="698" priority="178">
      <formula>$M$1="Spend Bonus Points"</formula>
    </cfRule>
  </conditionalFormatting>
  <conditionalFormatting sqref="AF26:AG26">
    <cfRule type="expression" dxfId="697" priority="176">
      <formula>$M$45&lt;0</formula>
    </cfRule>
  </conditionalFormatting>
  <conditionalFormatting sqref="AF26:AG26">
    <cfRule type="expression" dxfId="696" priority="175">
      <formula>AF26+AC26&gt;5</formula>
    </cfRule>
    <cfRule type="expression" dxfId="695" priority="177">
      <formula>AF26+AC26=5</formula>
    </cfRule>
  </conditionalFormatting>
  <conditionalFormatting sqref="AF27:AG27">
    <cfRule type="expression" dxfId="694" priority="174">
      <formula>$M$1="Spend Bonus Points"</formula>
    </cfRule>
  </conditionalFormatting>
  <conditionalFormatting sqref="AF27:AG27">
    <cfRule type="expression" dxfId="693" priority="172">
      <formula>$M$45&lt;0</formula>
    </cfRule>
  </conditionalFormatting>
  <conditionalFormatting sqref="AF27:AG27">
    <cfRule type="expression" dxfId="692" priority="171">
      <formula>AF27+AC27&gt;5</formula>
    </cfRule>
    <cfRule type="expression" dxfId="691" priority="173">
      <formula>AF27+AC27=5</formula>
    </cfRule>
  </conditionalFormatting>
  <conditionalFormatting sqref="AF28:AG28">
    <cfRule type="expression" dxfId="690" priority="170">
      <formula>$M$1="Spend Bonus Points"</formula>
    </cfRule>
  </conditionalFormatting>
  <conditionalFormatting sqref="AF28:AG28">
    <cfRule type="expression" dxfId="689" priority="168">
      <formula>$M$45&lt;0</formula>
    </cfRule>
  </conditionalFormatting>
  <conditionalFormatting sqref="AF28:AG28">
    <cfRule type="expression" dxfId="688" priority="167">
      <formula>AF28+AC28&gt;5</formula>
    </cfRule>
    <cfRule type="expression" dxfId="687" priority="169">
      <formula>AF28+AC28=5</formula>
    </cfRule>
  </conditionalFormatting>
  <conditionalFormatting sqref="AF29:AG29">
    <cfRule type="expression" dxfId="686" priority="166">
      <formula>$M$1="Spend Bonus Points"</formula>
    </cfRule>
  </conditionalFormatting>
  <conditionalFormatting sqref="AF29:AG29">
    <cfRule type="expression" dxfId="685" priority="164">
      <formula>$M$45&lt;0</formula>
    </cfRule>
  </conditionalFormatting>
  <conditionalFormatting sqref="AF29:AG29">
    <cfRule type="expression" dxfId="684" priority="163">
      <formula>AF29+AC29&gt;5</formula>
    </cfRule>
    <cfRule type="expression" dxfId="683" priority="165">
      <formula>AF29+AC29=5</formula>
    </cfRule>
  </conditionalFormatting>
  <conditionalFormatting sqref="AF30:AG30">
    <cfRule type="expression" dxfId="682" priority="162">
      <formula>$M$1="Spend Bonus Points"</formula>
    </cfRule>
  </conditionalFormatting>
  <conditionalFormatting sqref="AF30:AG30">
    <cfRule type="expression" dxfId="681" priority="160">
      <formula>$M$45&lt;0</formula>
    </cfRule>
  </conditionalFormatting>
  <conditionalFormatting sqref="AF30:AG30">
    <cfRule type="expression" dxfId="680" priority="159">
      <formula>AF30+AC30&gt;5</formula>
    </cfRule>
    <cfRule type="expression" dxfId="679" priority="161">
      <formula>AF30+AC30=5</formula>
    </cfRule>
  </conditionalFormatting>
  <conditionalFormatting sqref="AF31:AG31">
    <cfRule type="expression" dxfId="678" priority="158">
      <formula>$M$1="Spend Bonus Points"</formula>
    </cfRule>
  </conditionalFormatting>
  <conditionalFormatting sqref="AF31:AG31">
    <cfRule type="expression" dxfId="677" priority="156">
      <formula>$M$45&lt;0</formula>
    </cfRule>
  </conditionalFormatting>
  <conditionalFormatting sqref="AF31:AG31">
    <cfRule type="expression" dxfId="676" priority="155">
      <formula>AF31+AC31&gt;5</formula>
    </cfRule>
    <cfRule type="expression" dxfId="675" priority="157">
      <formula>AF31+AC31=5</formula>
    </cfRule>
  </conditionalFormatting>
  <conditionalFormatting sqref="AF32:AG32">
    <cfRule type="expression" dxfId="674" priority="154">
      <formula>$M$1="Spend Bonus Points"</formula>
    </cfRule>
  </conditionalFormatting>
  <conditionalFormatting sqref="AF32:AG32">
    <cfRule type="expression" dxfId="673" priority="152">
      <formula>$M$45&lt;0</formula>
    </cfRule>
  </conditionalFormatting>
  <conditionalFormatting sqref="AF32:AG32">
    <cfRule type="expression" dxfId="672" priority="151">
      <formula>AF32+AC32&gt;5</formula>
    </cfRule>
    <cfRule type="expression" dxfId="671" priority="153">
      <formula>AF32+AC32=5</formula>
    </cfRule>
  </conditionalFormatting>
  <conditionalFormatting sqref="AF33:AG33">
    <cfRule type="expression" dxfId="670" priority="150">
      <formula>$M$1="Spend Bonus Points"</formula>
    </cfRule>
  </conditionalFormatting>
  <conditionalFormatting sqref="AF33:AG33">
    <cfRule type="expression" dxfId="669" priority="148">
      <formula>$M$45&lt;0</formula>
    </cfRule>
  </conditionalFormatting>
  <conditionalFormatting sqref="AF33:AG33">
    <cfRule type="expression" dxfId="668" priority="147">
      <formula>AF33+AC33&gt;5</formula>
    </cfRule>
    <cfRule type="expression" dxfId="667" priority="149">
      <formula>AF33+AC33=5</formula>
    </cfRule>
  </conditionalFormatting>
  <conditionalFormatting sqref="BQ5:BR5">
    <cfRule type="expression" dxfId="666" priority="146">
      <formula>$M$1="Spend Bonus Points"</formula>
    </cfRule>
  </conditionalFormatting>
  <conditionalFormatting sqref="BQ5:BR5">
    <cfRule type="expression" dxfId="665" priority="144">
      <formula>$M$45&lt;0</formula>
    </cfRule>
  </conditionalFormatting>
  <conditionalFormatting sqref="BQ5:BR5">
    <cfRule type="expression" dxfId="664" priority="143">
      <formula>OR(BQ5+BO5&gt;BM5,BQ5+BO5&gt;$AU$3+$AU$4-1)</formula>
    </cfRule>
    <cfRule type="expression" dxfId="663" priority="145">
      <formula>OR(BQ5+BO5=BM5,BQ5+BO5=$AU$3+$AU$4-1)</formula>
    </cfRule>
  </conditionalFormatting>
  <conditionalFormatting sqref="BQ6:BR6">
    <cfRule type="expression" dxfId="662" priority="142">
      <formula>$M$1="Spend Bonus Points"</formula>
    </cfRule>
  </conditionalFormatting>
  <conditionalFormatting sqref="BQ6:BR6">
    <cfRule type="expression" dxfId="661" priority="140">
      <formula>$M$45&lt;0</formula>
    </cfRule>
  </conditionalFormatting>
  <conditionalFormatting sqref="BQ6:BR6">
    <cfRule type="expression" dxfId="660" priority="139">
      <formula>OR(BQ6+BO6&gt;BM6,BQ6+BO6&gt;$AU$3+$AU$4-1)</formula>
    </cfRule>
    <cfRule type="expression" dxfId="659" priority="141">
      <formula>OR(BQ6+BO6=BM6,BQ6+BO6=$AU$3+$AU$4-1)</formula>
    </cfRule>
  </conditionalFormatting>
  <conditionalFormatting sqref="BQ7:BR7">
    <cfRule type="expression" dxfId="658" priority="138">
      <formula>$M$1="Spend Bonus Points"</formula>
    </cfRule>
  </conditionalFormatting>
  <conditionalFormatting sqref="BQ7:BR7">
    <cfRule type="expression" dxfId="657" priority="136">
      <formula>$M$45&lt;0</formula>
    </cfRule>
  </conditionalFormatting>
  <conditionalFormatting sqref="BQ7:BR7">
    <cfRule type="expression" dxfId="656" priority="135">
      <formula>OR(BQ7+BO7&gt;BM7,BQ7+BO7&gt;$AU$3+$AU$4-1)</formula>
    </cfRule>
    <cfRule type="expression" dxfId="655" priority="137">
      <formula>OR(BQ7+BO7=BM7,BQ7+BO7=$AU$3+$AU$4-1)</formula>
    </cfRule>
  </conditionalFormatting>
  <conditionalFormatting sqref="BQ8:BR8">
    <cfRule type="expression" dxfId="654" priority="134">
      <formula>$M$1="Spend Bonus Points"</formula>
    </cfRule>
  </conditionalFormatting>
  <conditionalFormatting sqref="BQ8:BR8">
    <cfRule type="expression" dxfId="653" priority="132">
      <formula>$M$45&lt;0</formula>
    </cfRule>
  </conditionalFormatting>
  <conditionalFormatting sqref="BQ8:BR8">
    <cfRule type="expression" dxfId="652" priority="131">
      <formula>OR(BQ8+BO8&gt;BM8,BQ8+BO8&gt;$AU$3+$AU$4-1)</formula>
    </cfRule>
    <cfRule type="expression" dxfId="651" priority="133">
      <formula>OR(BQ8+BO8=BM8,BQ8+BO8=$AU$3+$AU$4-1)</formula>
    </cfRule>
  </conditionalFormatting>
  <conditionalFormatting sqref="BQ9:BR9">
    <cfRule type="expression" dxfId="650" priority="130">
      <formula>$M$1="Spend Bonus Points"</formula>
    </cfRule>
  </conditionalFormatting>
  <conditionalFormatting sqref="BQ9:BR9">
    <cfRule type="expression" dxfId="649" priority="128">
      <formula>$M$45&lt;0</formula>
    </cfRule>
  </conditionalFormatting>
  <conditionalFormatting sqref="BQ9:BR9">
    <cfRule type="expression" dxfId="648" priority="127">
      <formula>OR(BQ9+BO9&gt;BM9,BQ9+BO9&gt;$AU$3+$AU$4-1)</formula>
    </cfRule>
    <cfRule type="expression" dxfId="647" priority="129">
      <formula>OR(BQ9+BO9=BM9,BQ9+BO9=$AU$3+$AU$4-1)</formula>
    </cfRule>
  </conditionalFormatting>
  <conditionalFormatting sqref="BQ10:BR10">
    <cfRule type="expression" dxfId="646" priority="126">
      <formula>$M$1="Spend Bonus Points"</formula>
    </cfRule>
  </conditionalFormatting>
  <conditionalFormatting sqref="BQ10:BR10">
    <cfRule type="expression" dxfId="645" priority="124">
      <formula>$M$45&lt;0</formula>
    </cfRule>
  </conditionalFormatting>
  <conditionalFormatting sqref="BQ10:BR10">
    <cfRule type="expression" dxfId="644" priority="123">
      <formula>OR(BQ10+BO10&gt;BM10,BQ10+BO10&gt;$AU$3+$AU$4-1)</formula>
    </cfRule>
    <cfRule type="expression" dxfId="643" priority="125">
      <formula>OR(BQ10+BO10=BM10,BQ10+BO10=$AU$3+$AU$4-1)</formula>
    </cfRule>
  </conditionalFormatting>
  <conditionalFormatting sqref="BQ11:BR11">
    <cfRule type="expression" dxfId="642" priority="122">
      <formula>$M$1="Spend Bonus Points"</formula>
    </cfRule>
  </conditionalFormatting>
  <conditionalFormatting sqref="BQ11:BR11">
    <cfRule type="expression" dxfId="641" priority="120">
      <formula>$M$45&lt;0</formula>
    </cfRule>
  </conditionalFormatting>
  <conditionalFormatting sqref="BQ11:BR11">
    <cfRule type="expression" dxfId="640" priority="119">
      <formula>OR(BQ11+BO11&gt;BM11,BQ11+BO11&gt;$AU$3+$AU$4-1)</formula>
    </cfRule>
    <cfRule type="expression" dxfId="639" priority="121">
      <formula>OR(BQ11+BO11=BM11,BQ11+BO11=$AU$3+$AU$4-1)</formula>
    </cfRule>
  </conditionalFormatting>
  <conditionalFormatting sqref="BQ12:BR12">
    <cfRule type="expression" dxfId="638" priority="118">
      <formula>$M$1="Spend Bonus Points"</formula>
    </cfRule>
  </conditionalFormatting>
  <conditionalFormatting sqref="BQ12:BR12">
    <cfRule type="expression" dxfId="637" priority="116">
      <formula>$M$45&lt;0</formula>
    </cfRule>
  </conditionalFormatting>
  <conditionalFormatting sqref="BQ12:BR12">
    <cfRule type="expression" dxfId="636" priority="115">
      <formula>OR(BQ12+BO12&gt;BM12,BQ12+BO12&gt;$AU$3+$AU$4-1)</formula>
    </cfRule>
    <cfRule type="expression" dxfId="635" priority="117">
      <formula>OR(BQ12+BO12=BM12,BQ12+BO12=$AU$3+$AU$4-1)</formula>
    </cfRule>
  </conditionalFormatting>
  <conditionalFormatting sqref="BN22:BO22">
    <cfRule type="expression" dxfId="634" priority="114">
      <formula>$M$1="Spend Bonus Points"</formula>
    </cfRule>
  </conditionalFormatting>
  <conditionalFormatting sqref="BN22:BO22">
    <cfRule type="expression" dxfId="633" priority="110">
      <formula>$M$45&lt;0</formula>
    </cfRule>
  </conditionalFormatting>
  <conditionalFormatting sqref="BN22">
    <cfRule type="expression" dxfId="632" priority="111">
      <formula>BN22+BM22&gt;3</formula>
    </cfRule>
    <cfRule type="expression" dxfId="631" priority="112">
      <formula>BN22+BM22=3</formula>
    </cfRule>
  </conditionalFormatting>
  <conditionalFormatting sqref="BO22">
    <cfRule type="expression" dxfId="630" priority="109">
      <formula>BO22&gt;2</formula>
    </cfRule>
    <cfRule type="expression" dxfId="629" priority="113">
      <formula>BO22=2</formula>
    </cfRule>
  </conditionalFormatting>
  <conditionalFormatting sqref="BN23:BO23">
    <cfRule type="expression" dxfId="628" priority="108">
      <formula>$M$1="Spend Bonus Points"</formula>
    </cfRule>
  </conditionalFormatting>
  <conditionalFormatting sqref="BN23:BO23">
    <cfRule type="expression" dxfId="627" priority="104">
      <formula>$M$45&lt;0</formula>
    </cfRule>
  </conditionalFormatting>
  <conditionalFormatting sqref="BN23">
    <cfRule type="expression" dxfId="626" priority="105">
      <formula>BN23+BM23&gt;3</formula>
    </cfRule>
    <cfRule type="expression" dxfId="625" priority="106">
      <formula>BN23+BM23=3</formula>
    </cfRule>
  </conditionalFormatting>
  <conditionalFormatting sqref="BO23">
    <cfRule type="expression" dxfId="624" priority="103">
      <formula>BO23&gt;2</formula>
    </cfRule>
    <cfRule type="expression" dxfId="623" priority="107">
      <formula>BO23=2</formula>
    </cfRule>
  </conditionalFormatting>
  <conditionalFormatting sqref="BN24:BO24">
    <cfRule type="expression" dxfId="622" priority="102">
      <formula>$M$1="Spend Bonus Points"</formula>
    </cfRule>
  </conditionalFormatting>
  <conditionalFormatting sqref="BN24:BO24">
    <cfRule type="expression" dxfId="621" priority="98">
      <formula>$M$45&lt;0</formula>
    </cfRule>
  </conditionalFormatting>
  <conditionalFormatting sqref="BN24">
    <cfRule type="expression" dxfId="620" priority="99">
      <formula>BN24+BM24&gt;3</formula>
    </cfRule>
    <cfRule type="expression" dxfId="619" priority="100">
      <formula>BN24+BM24=3</formula>
    </cfRule>
  </conditionalFormatting>
  <conditionalFormatting sqref="BO24">
    <cfRule type="expression" dxfId="618" priority="97">
      <formula>BO24&gt;2</formula>
    </cfRule>
    <cfRule type="expression" dxfId="617" priority="101">
      <formula>BO24=2</formula>
    </cfRule>
  </conditionalFormatting>
  <conditionalFormatting sqref="BN25:BO25">
    <cfRule type="expression" dxfId="616" priority="96">
      <formula>$M$1="Spend Bonus Points"</formula>
    </cfRule>
  </conditionalFormatting>
  <conditionalFormatting sqref="BN25:BO25">
    <cfRule type="expression" dxfId="615" priority="92">
      <formula>$M$45&lt;0</formula>
    </cfRule>
  </conditionalFormatting>
  <conditionalFormatting sqref="BN25">
    <cfRule type="expression" dxfId="614" priority="93">
      <formula>BN25+BM25&gt;3</formula>
    </cfRule>
    <cfRule type="expression" dxfId="613" priority="94">
      <formula>BN25+BM25=3</formula>
    </cfRule>
  </conditionalFormatting>
  <conditionalFormatting sqref="BO25">
    <cfRule type="expression" dxfId="612" priority="91">
      <formula>BO25&gt;2</formula>
    </cfRule>
    <cfRule type="expression" dxfId="611" priority="95">
      <formula>BO25=2</formula>
    </cfRule>
  </conditionalFormatting>
  <conditionalFormatting sqref="BN26:BO26">
    <cfRule type="expression" dxfId="610" priority="90">
      <formula>$M$1="Spend Bonus Points"</formula>
    </cfRule>
  </conditionalFormatting>
  <conditionalFormatting sqref="BN26:BO26">
    <cfRule type="expression" dxfId="609" priority="86">
      <formula>$M$45&lt;0</formula>
    </cfRule>
  </conditionalFormatting>
  <conditionalFormatting sqref="BN26">
    <cfRule type="expression" dxfId="608" priority="87">
      <formula>BN26+BM26&gt;3</formula>
    </cfRule>
    <cfRule type="expression" dxfId="607" priority="88">
      <formula>BN26+BM26=3</formula>
    </cfRule>
  </conditionalFormatting>
  <conditionalFormatting sqref="BO26">
    <cfRule type="expression" dxfId="606" priority="85">
      <formula>BO26&gt;2</formula>
    </cfRule>
    <cfRule type="expression" dxfId="605" priority="89">
      <formula>BO26=2</formula>
    </cfRule>
  </conditionalFormatting>
  <conditionalFormatting sqref="BN27:BO27">
    <cfRule type="expression" dxfId="604" priority="84">
      <formula>$M$1="Spend Bonus Points"</formula>
    </cfRule>
  </conditionalFormatting>
  <conditionalFormatting sqref="BN27:BO27">
    <cfRule type="expression" dxfId="603" priority="80">
      <formula>$M$45&lt;0</formula>
    </cfRule>
  </conditionalFormatting>
  <conditionalFormatting sqref="BN27">
    <cfRule type="expression" dxfId="602" priority="81">
      <formula>BN27+BM27&gt;3</formula>
    </cfRule>
    <cfRule type="expression" dxfId="601" priority="82">
      <formula>BN27+BM27=3</formula>
    </cfRule>
  </conditionalFormatting>
  <conditionalFormatting sqref="BO27">
    <cfRule type="expression" dxfId="600" priority="79">
      <formula>BO27&gt;2</formula>
    </cfRule>
    <cfRule type="expression" dxfId="599" priority="83">
      <formula>BO27=2</formula>
    </cfRule>
  </conditionalFormatting>
  <conditionalFormatting sqref="BN28:BO28">
    <cfRule type="expression" dxfId="598" priority="78">
      <formula>$M$1="Spend Bonus Points"</formula>
    </cfRule>
  </conditionalFormatting>
  <conditionalFormatting sqref="BN28:BO28">
    <cfRule type="expression" dxfId="597" priority="74">
      <formula>$M$45&lt;0</formula>
    </cfRule>
  </conditionalFormatting>
  <conditionalFormatting sqref="BN28">
    <cfRule type="expression" dxfId="596" priority="75">
      <formula>BN28+BM28&gt;3</formula>
    </cfRule>
    <cfRule type="expression" dxfId="595" priority="76">
      <formula>BN28+BM28=3</formula>
    </cfRule>
  </conditionalFormatting>
  <conditionalFormatting sqref="BO28">
    <cfRule type="expression" dxfId="594" priority="73">
      <formula>BO28&gt;2</formula>
    </cfRule>
    <cfRule type="expression" dxfId="593" priority="77">
      <formula>BO28=2</formula>
    </cfRule>
  </conditionalFormatting>
  <conditionalFormatting sqref="BN29:BO29">
    <cfRule type="expression" dxfId="592" priority="72">
      <formula>$M$1="Spend Bonus Points"</formula>
    </cfRule>
  </conditionalFormatting>
  <conditionalFormatting sqref="BN29:BO29">
    <cfRule type="expression" dxfId="591" priority="68">
      <formula>$M$45&lt;0</formula>
    </cfRule>
  </conditionalFormatting>
  <conditionalFormatting sqref="BN29">
    <cfRule type="expression" dxfId="590" priority="69">
      <formula>BN29+BM29&gt;3</formula>
    </cfRule>
    <cfRule type="expression" dxfId="589" priority="70">
      <formula>BN29+BM29=3</formula>
    </cfRule>
  </conditionalFormatting>
  <conditionalFormatting sqref="BO29">
    <cfRule type="expression" dxfId="588" priority="67">
      <formula>BO29&gt;2</formula>
    </cfRule>
    <cfRule type="expression" dxfId="587" priority="71">
      <formula>BO29=2</formula>
    </cfRule>
  </conditionalFormatting>
  <conditionalFormatting sqref="BN30:BO30">
    <cfRule type="expression" dxfId="586" priority="66">
      <formula>$M$1="Spend Bonus Points"</formula>
    </cfRule>
  </conditionalFormatting>
  <conditionalFormatting sqref="BN30:BO30">
    <cfRule type="expression" dxfId="585" priority="62">
      <formula>$M$45&lt;0</formula>
    </cfRule>
  </conditionalFormatting>
  <conditionalFormatting sqref="BN30">
    <cfRule type="expression" dxfId="584" priority="63">
      <formula>BN30+BM30&gt;3</formula>
    </cfRule>
    <cfRule type="expression" dxfId="583" priority="64">
      <formula>BN30+BM30=3</formula>
    </cfRule>
  </conditionalFormatting>
  <conditionalFormatting sqref="BO30">
    <cfRule type="expression" dxfId="582" priority="61">
      <formula>BO30&gt;2</formula>
    </cfRule>
    <cfRule type="expression" dxfId="581" priority="65">
      <formula>BO30=2</formula>
    </cfRule>
  </conditionalFormatting>
  <conditionalFormatting sqref="BN31:BO31">
    <cfRule type="expression" dxfId="580" priority="60">
      <formula>$M$1="Spend Bonus Points"</formula>
    </cfRule>
  </conditionalFormatting>
  <conditionalFormatting sqref="BN31:BO31">
    <cfRule type="expression" dxfId="579" priority="56">
      <formula>$M$45&lt;0</formula>
    </cfRule>
  </conditionalFormatting>
  <conditionalFormatting sqref="BN31">
    <cfRule type="expression" dxfId="578" priority="57">
      <formula>BN31+BM31&gt;3</formula>
    </cfRule>
    <cfRule type="expression" dxfId="577" priority="58">
      <formula>BN31+BM31=3</formula>
    </cfRule>
  </conditionalFormatting>
  <conditionalFormatting sqref="BO31">
    <cfRule type="expression" dxfId="576" priority="55">
      <formula>BO31&gt;2</formula>
    </cfRule>
    <cfRule type="expression" dxfId="575" priority="59">
      <formula>BO31=2</formula>
    </cfRule>
  </conditionalFormatting>
  <conditionalFormatting sqref="BN32:BO32">
    <cfRule type="expression" dxfId="574" priority="54">
      <formula>$M$1="Spend Bonus Points"</formula>
    </cfRule>
  </conditionalFormatting>
  <conditionalFormatting sqref="BN32:BO32">
    <cfRule type="expression" dxfId="573" priority="50">
      <formula>$M$45&lt;0</formula>
    </cfRule>
  </conditionalFormatting>
  <conditionalFormatting sqref="BN32">
    <cfRule type="expression" dxfId="572" priority="51">
      <formula>BN32+BM32&gt;3</formula>
    </cfRule>
    <cfRule type="expression" dxfId="571" priority="52">
      <formula>BN32+BM32=3</formula>
    </cfRule>
  </conditionalFormatting>
  <conditionalFormatting sqref="BO32">
    <cfRule type="expression" dxfId="570" priority="49">
      <formula>BO32&gt;2</formula>
    </cfRule>
    <cfRule type="expression" dxfId="569" priority="53">
      <formula>BO32=2</formula>
    </cfRule>
  </conditionalFormatting>
  <conditionalFormatting sqref="BN33:BO33">
    <cfRule type="expression" dxfId="568" priority="48">
      <formula>$M$1="Spend Bonus Points"</formula>
    </cfRule>
  </conditionalFormatting>
  <conditionalFormatting sqref="BN33:BO33">
    <cfRule type="expression" dxfId="567" priority="44">
      <formula>$M$45&lt;0</formula>
    </cfRule>
  </conditionalFormatting>
  <conditionalFormatting sqref="BN33">
    <cfRule type="expression" dxfId="566" priority="45">
      <formula>BN33+BM33&gt;3</formula>
    </cfRule>
    <cfRule type="expression" dxfId="565" priority="46">
      <formula>BN33+BM33=3</formula>
    </cfRule>
  </conditionalFormatting>
  <conditionalFormatting sqref="BO33">
    <cfRule type="expression" dxfId="564" priority="43">
      <formula>BO33&gt;2</formula>
    </cfRule>
    <cfRule type="expression" dxfId="563" priority="47">
      <formula>BO33=2</formula>
    </cfRule>
  </conditionalFormatting>
  <conditionalFormatting sqref="BN34:BO34">
    <cfRule type="expression" dxfId="562" priority="42">
      <formula>$M$1="Spend Bonus Points"</formula>
    </cfRule>
  </conditionalFormatting>
  <conditionalFormatting sqref="BN34:BO34">
    <cfRule type="expression" dxfId="561" priority="38">
      <formula>$M$45&lt;0</formula>
    </cfRule>
  </conditionalFormatting>
  <conditionalFormatting sqref="BN34">
    <cfRule type="expression" dxfId="560" priority="39">
      <formula>BN34+BM34&gt;3</formula>
    </cfRule>
    <cfRule type="expression" dxfId="559" priority="40">
      <formula>BN34+BM34=3</formula>
    </cfRule>
  </conditionalFormatting>
  <conditionalFormatting sqref="BO34">
    <cfRule type="expression" dxfId="558" priority="37">
      <formula>BO34&gt;2</formula>
    </cfRule>
    <cfRule type="expression" dxfId="557" priority="41">
      <formula>BO34=2</formula>
    </cfRule>
  </conditionalFormatting>
  <conditionalFormatting sqref="BN35:BO35">
    <cfRule type="expression" dxfId="556" priority="36">
      <formula>$M$1="Spend Bonus Points"</formula>
    </cfRule>
  </conditionalFormatting>
  <conditionalFormatting sqref="BN35:BO35">
    <cfRule type="expression" dxfId="555" priority="32">
      <formula>$M$45&lt;0</formula>
    </cfRule>
  </conditionalFormatting>
  <conditionalFormatting sqref="BN35">
    <cfRule type="expression" dxfId="554" priority="33">
      <formula>BN35+BM35&gt;3</formula>
    </cfRule>
    <cfRule type="expression" dxfId="553" priority="34">
      <formula>BN35+BM35=3</formula>
    </cfRule>
  </conditionalFormatting>
  <conditionalFormatting sqref="BO35">
    <cfRule type="expression" dxfId="552" priority="31">
      <formula>BO35&gt;2</formula>
    </cfRule>
    <cfRule type="expression" dxfId="551" priority="35">
      <formula>BO35=2</formula>
    </cfRule>
  </conditionalFormatting>
  <conditionalFormatting sqref="BN36:BO36">
    <cfRule type="expression" dxfId="550" priority="30">
      <formula>$M$1="Spend Bonus Points"</formula>
    </cfRule>
  </conditionalFormatting>
  <conditionalFormatting sqref="BN36:BO36">
    <cfRule type="expression" dxfId="549" priority="26">
      <formula>$M$45&lt;0</formula>
    </cfRule>
  </conditionalFormatting>
  <conditionalFormatting sqref="BN36">
    <cfRule type="expression" dxfId="548" priority="27">
      <formula>BN36+BM36&gt;3</formula>
    </cfRule>
    <cfRule type="expression" dxfId="547" priority="28">
      <formula>BN36+BM36=3</formula>
    </cfRule>
  </conditionalFormatting>
  <conditionalFormatting sqref="BO36">
    <cfRule type="expression" dxfId="546" priority="25">
      <formula>BO36&gt;2</formula>
    </cfRule>
    <cfRule type="expression" dxfId="545" priority="29">
      <formula>BO36=2</formula>
    </cfRule>
  </conditionalFormatting>
  <conditionalFormatting sqref="BN37:BO37">
    <cfRule type="expression" dxfId="544" priority="24">
      <formula>$M$1="Spend Bonus Points"</formula>
    </cfRule>
  </conditionalFormatting>
  <conditionalFormatting sqref="BN37:BO37">
    <cfRule type="expression" dxfId="543" priority="12">
      <formula>$M$45&lt;0</formula>
    </cfRule>
  </conditionalFormatting>
  <conditionalFormatting sqref="BN37">
    <cfRule type="expression" dxfId="542" priority="21">
      <formula>BN37+BM37&gt;3</formula>
    </cfRule>
    <cfRule type="expression" dxfId="541" priority="22">
      <formula>BN37+BM37=3</formula>
    </cfRule>
  </conditionalFormatting>
  <conditionalFormatting sqref="BO37">
    <cfRule type="expression" dxfId="540" priority="11">
      <formula>BO37&gt;2</formula>
    </cfRule>
    <cfRule type="expression" dxfId="539" priority="23">
      <formula>BO37=2</formula>
    </cfRule>
  </conditionalFormatting>
  <conditionalFormatting sqref="BN38:BO38">
    <cfRule type="expression" dxfId="538" priority="20">
      <formula>$M$1="Spend Bonus Points"</formula>
    </cfRule>
  </conditionalFormatting>
  <conditionalFormatting sqref="BN38:BO38">
    <cfRule type="expression" dxfId="537" priority="9">
      <formula>$M$45&lt;0</formula>
    </cfRule>
  </conditionalFormatting>
  <conditionalFormatting sqref="BN38">
    <cfRule type="expression" dxfId="536" priority="10">
      <formula>BN38+BM38&gt;3</formula>
    </cfRule>
    <cfRule type="expression" dxfId="535" priority="18">
      <formula>BN38+BM38=3</formula>
    </cfRule>
  </conditionalFormatting>
  <conditionalFormatting sqref="BO38">
    <cfRule type="expression" dxfId="534" priority="8">
      <formula>BO38&gt;2</formula>
    </cfRule>
    <cfRule type="expression" dxfId="533" priority="19">
      <formula>BO38=2</formula>
    </cfRule>
  </conditionalFormatting>
  <conditionalFormatting sqref="BN39:BO39">
    <cfRule type="expression" dxfId="532" priority="17">
      <formula>$M$1="Spend Bonus Points"</formula>
    </cfRule>
  </conditionalFormatting>
  <conditionalFormatting sqref="BN39:BO39">
    <cfRule type="expression" dxfId="531" priority="6">
      <formula>$M$45&lt;0</formula>
    </cfRule>
  </conditionalFormatting>
  <conditionalFormatting sqref="BN39">
    <cfRule type="expression" dxfId="530" priority="7">
      <formula>BN39+BM39&gt;3</formula>
    </cfRule>
    <cfRule type="expression" dxfId="529" priority="15">
      <formula>BN39+BM39=3</formula>
    </cfRule>
  </conditionalFormatting>
  <conditionalFormatting sqref="BO39">
    <cfRule type="expression" dxfId="528" priority="5">
      <formula>BO39&gt;2</formula>
    </cfRule>
    <cfRule type="expression" dxfId="527" priority="16">
      <formula>BO39=2</formula>
    </cfRule>
  </conditionalFormatting>
  <conditionalFormatting sqref="A3:AB3 A4:AI11 AU4:BH4 AN21:BT23 AN6:BH12 AW5:BH5 A43:L43 E39:L42 AF38:BT39 E19:L23 A14:AI15 AF40:BH42 BP40:BT46 BI3:BL3 AU3:AV3 A38:D38 M38:P38 A18:D18 M27:P27 BM40:BM42 AN14:BH20 AN13:BL13 BO13:BT17 BM4:BT12 AC34:BT37 A24:L24 A44:H46 M44:BM46 Q39:X42 Q43:BM43 Q18:T18 A30:L30 O22:P24 E31:L35 E25:L29 M34:P35 Y16:AI23 Q28:X33 Y24:BT33 U34:X35 U23:X24 Q19:X22 M17:P17 M19:P19 E12:E13 Y12:AI13 S12:S13">
    <cfRule type="expression" dxfId="526" priority="3">
      <formula>$M$1="You're Done!"</formula>
    </cfRule>
  </conditionalFormatting>
  <conditionalFormatting sqref="BI21:BT39">
    <cfRule type="expression" dxfId="525" priority="14">
      <formula>NOT($M$1="Select Your Birthrights")</formula>
    </cfRule>
  </conditionalFormatting>
  <conditionalFormatting sqref="AN6:AS33">
    <cfRule type="notContainsBlanks" dxfId="524" priority="4">
      <formula>LEN(TRIM(AN6))&gt;0</formula>
    </cfRule>
    <cfRule type="expression" dxfId="523" priority="13">
      <formula>$M$1="Spend Bonus Points"</formula>
    </cfRule>
  </conditionalFormatting>
  <conditionalFormatting sqref="E31:H33 E25:H27 E19:H21">
    <cfRule type="cellIs" dxfId="522" priority="2" operator="lessThan">
      <formula>1</formula>
    </cfRule>
  </conditionalFormatting>
  <dataValidations count="9">
    <dataValidation type="list" allowBlank="1" showInputMessage="1" showErrorMessage="1" sqref="M17:P17">
      <formula1>Pantheons</formula1>
    </dataValidation>
    <dataValidation type="list" allowBlank="1" showInputMessage="1" showErrorMessage="1" sqref="S13">
      <formula1>Natures</formula1>
    </dataValidation>
    <dataValidation type="list" allowBlank="1" showInputMessage="1" showErrorMessage="1" sqref="E22:H22 E28:H28 E34:H34">
      <formula1>Priority</formula1>
    </dataValidation>
    <dataValidation type="list" allowBlank="1" showInputMessage="1" showErrorMessage="1" sqref="AW4:BB46">
      <formula1>Purviews</formula1>
    </dataValidation>
    <dataValidation type="list" allowBlank="1" showInputMessage="1" showErrorMessage="1" sqref="BG4:BG46">
      <formula1>Test</formula1>
    </dataValidation>
    <dataValidation type="list" allowBlank="1" showInputMessage="1" showErrorMessage="1" sqref="AN6:AS33">
      <formula1>Knack</formula1>
    </dataValidation>
    <dataValidation type="list" allowBlank="1" showInputMessage="1" showErrorMessage="1" sqref="Y24:AB33">
      <formula1>Special</formula1>
    </dataValidation>
    <dataValidation type="list" allowBlank="1" showInputMessage="1" showErrorMessage="1" sqref="BI21:BL39">
      <formula1>Birthrights</formula1>
    </dataValidation>
    <dataValidation type="list" allowBlank="1" showInputMessage="1" showErrorMessage="1" sqref="M19:P19">
      <formula1>INDIRECT($M$17)</formula1>
    </dataValidation>
  </dataValidation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GR54"/>
  <sheetViews>
    <sheetView view="pageBreakPreview" topLeftCell="Y1" zoomScale="60" zoomScaleNormal="100" workbookViewId="0">
      <selection activeCell="BH21" sqref="BH21"/>
    </sheetView>
  </sheetViews>
  <sheetFormatPr defaultRowHeight="15" x14ac:dyDescent="0.25"/>
  <cols>
    <col min="1" max="24" width="3.7109375" style="28" hidden="1" customWidth="1"/>
    <col min="25" max="72" width="3.7109375" style="28" customWidth="1"/>
    <col min="73" max="144" width="3.7109375" style="28" hidden="1" customWidth="1"/>
    <col min="145" max="192" width="3.7109375" style="28" customWidth="1"/>
    <col min="193" max="194" width="16.5703125" style="28" hidden="1" customWidth="1"/>
    <col min="195" max="200" width="9.140625" style="28" hidden="1" customWidth="1"/>
    <col min="201" max="16384" width="9.140625" style="28"/>
  </cols>
  <sheetData>
    <row r="1" spans="1:200" ht="15" customHeight="1" x14ac:dyDescent="0.25">
      <c r="A1" s="373" t="s">
        <v>454</v>
      </c>
      <c r="B1" s="374"/>
      <c r="C1" s="374"/>
      <c r="D1" s="374"/>
      <c r="E1" s="374"/>
      <c r="F1" s="374"/>
      <c r="G1" s="374"/>
      <c r="H1" s="374"/>
      <c r="I1" s="374"/>
      <c r="J1" s="374"/>
      <c r="K1" s="374"/>
      <c r="L1" s="374"/>
      <c r="M1" s="374"/>
      <c r="N1" s="374"/>
      <c r="O1" s="374"/>
      <c r="P1" s="374"/>
      <c r="Q1" s="374"/>
      <c r="R1" s="374"/>
      <c r="S1" s="374"/>
      <c r="T1" s="374"/>
      <c r="U1" s="374"/>
      <c r="V1" s="374"/>
      <c r="W1" s="374"/>
      <c r="X1" s="426"/>
      <c r="Y1" s="373" t="s">
        <v>455</v>
      </c>
      <c r="Z1" s="374"/>
      <c r="AA1" s="374"/>
      <c r="AB1" s="374"/>
      <c r="AC1" s="374"/>
      <c r="AD1" s="374"/>
      <c r="AE1" s="374"/>
      <c r="AF1" s="374"/>
      <c r="AG1" s="374"/>
      <c r="AH1" s="374"/>
      <c r="AI1" s="374"/>
      <c r="AJ1" s="374"/>
      <c r="AK1" s="374"/>
      <c r="AL1" s="374"/>
      <c r="AM1" s="374"/>
      <c r="AN1" s="374"/>
      <c r="AO1" s="374"/>
      <c r="AP1" s="374"/>
      <c r="AQ1" s="374"/>
      <c r="AR1" s="374"/>
      <c r="AS1" s="374"/>
      <c r="AT1" s="374"/>
      <c r="AU1" s="374"/>
      <c r="AV1" s="375"/>
      <c r="AW1" s="373" t="s">
        <v>456</v>
      </c>
      <c r="AX1" s="374"/>
      <c r="AY1" s="374"/>
      <c r="AZ1" s="374"/>
      <c r="BA1" s="374"/>
      <c r="BB1" s="374"/>
      <c r="BC1" s="374"/>
      <c r="BD1" s="374"/>
      <c r="BE1" s="374"/>
      <c r="BF1" s="374"/>
      <c r="BG1" s="374"/>
      <c r="BH1" s="374"/>
      <c r="BI1" s="374"/>
      <c r="BJ1" s="374"/>
      <c r="BK1" s="374"/>
      <c r="BL1" s="374"/>
      <c r="BM1" s="374"/>
      <c r="BN1" s="374"/>
      <c r="BO1" s="374"/>
      <c r="BP1" s="374"/>
      <c r="BQ1" s="374"/>
      <c r="BR1" s="374"/>
      <c r="BS1" s="374"/>
      <c r="BT1" s="375"/>
      <c r="BU1" s="478" t="s">
        <v>457</v>
      </c>
      <c r="BV1" s="374"/>
      <c r="BW1" s="374"/>
      <c r="BX1" s="374"/>
      <c r="BY1" s="374"/>
      <c r="BZ1" s="374"/>
      <c r="CA1" s="374"/>
      <c r="CB1" s="374"/>
      <c r="CC1" s="374"/>
      <c r="CD1" s="374"/>
      <c r="CE1" s="374"/>
      <c r="CF1" s="374"/>
      <c r="CG1" s="374"/>
      <c r="CH1" s="374"/>
      <c r="CI1" s="374"/>
      <c r="CJ1" s="374"/>
      <c r="CK1" s="374"/>
      <c r="CL1" s="374"/>
      <c r="CM1" s="374"/>
      <c r="CN1" s="374"/>
      <c r="CO1" s="374"/>
      <c r="CP1" s="374"/>
      <c r="CQ1" s="374"/>
      <c r="CR1" s="375"/>
      <c r="CS1" s="478" t="s">
        <v>458</v>
      </c>
      <c r="CT1" s="374"/>
      <c r="CU1" s="374"/>
      <c r="CV1" s="374"/>
      <c r="CW1" s="374"/>
      <c r="CX1" s="374"/>
      <c r="CY1" s="374"/>
      <c r="CZ1" s="374"/>
      <c r="DA1" s="374"/>
      <c r="DB1" s="374"/>
      <c r="DC1" s="374"/>
      <c r="DD1" s="374"/>
      <c r="DE1" s="374"/>
      <c r="DF1" s="374"/>
      <c r="DG1" s="374"/>
      <c r="DH1" s="374"/>
      <c r="DI1" s="374"/>
      <c r="DJ1" s="374"/>
      <c r="DK1" s="374"/>
      <c r="DL1" s="374"/>
      <c r="DM1" s="374"/>
      <c r="DN1" s="374"/>
      <c r="DO1" s="374"/>
      <c r="DP1" s="426"/>
      <c r="DQ1" s="373" t="s">
        <v>459</v>
      </c>
      <c r="DR1" s="374"/>
      <c r="DS1" s="374"/>
      <c r="DT1" s="374"/>
      <c r="DU1" s="374"/>
      <c r="DV1" s="374"/>
      <c r="DW1" s="374"/>
      <c r="DX1" s="374"/>
      <c r="DY1" s="374"/>
      <c r="DZ1" s="374"/>
      <c r="EA1" s="374"/>
      <c r="EB1" s="374"/>
      <c r="EC1" s="374"/>
      <c r="ED1" s="374"/>
      <c r="EE1" s="374"/>
      <c r="EF1" s="374"/>
      <c r="EG1" s="374"/>
      <c r="EH1" s="374"/>
      <c r="EI1" s="374"/>
      <c r="EJ1" s="374"/>
      <c r="EK1" s="374"/>
      <c r="EL1" s="374"/>
      <c r="EM1" s="374"/>
      <c r="EN1" s="426"/>
      <c r="EO1" s="715" t="s">
        <v>1806</v>
      </c>
      <c r="EP1" s="716"/>
      <c r="EQ1" s="716"/>
      <c r="ER1" s="716"/>
      <c r="ES1" s="716"/>
      <c r="ET1" s="716"/>
      <c r="EU1" s="716"/>
      <c r="EV1" s="716"/>
      <c r="EW1" s="716"/>
      <c r="EX1" s="716"/>
      <c r="EY1" s="716"/>
      <c r="EZ1" s="716"/>
      <c r="FA1" s="716"/>
      <c r="FB1" s="716"/>
      <c r="FC1" s="716"/>
      <c r="FD1" s="716"/>
      <c r="FE1" s="716"/>
      <c r="FF1" s="716"/>
      <c r="FG1" s="716"/>
      <c r="FH1" s="716"/>
      <c r="FI1" s="716"/>
      <c r="FJ1" s="716"/>
      <c r="FK1" s="716"/>
      <c r="FL1" s="716"/>
      <c r="FM1" s="716"/>
      <c r="FN1" s="716"/>
      <c r="FO1" s="716"/>
      <c r="FP1" s="716"/>
      <c r="FQ1" s="716"/>
      <c r="FR1" s="716"/>
      <c r="FS1" s="716"/>
      <c r="FT1" s="716"/>
      <c r="FU1" s="716"/>
      <c r="FV1" s="716"/>
      <c r="FW1" s="716"/>
      <c r="FX1" s="716"/>
      <c r="FY1" s="716"/>
      <c r="FZ1" s="716"/>
      <c r="GA1" s="716"/>
      <c r="GB1" s="716"/>
      <c r="GC1" s="716"/>
      <c r="GD1" s="716"/>
      <c r="GE1" s="716"/>
      <c r="GF1" s="716"/>
      <c r="GG1" s="716"/>
    </row>
    <row r="2" spans="1:200" ht="15.75" customHeight="1" thickBot="1" x14ac:dyDescent="0.3">
      <c r="A2" s="499"/>
      <c r="B2" s="378"/>
      <c r="C2" s="378"/>
      <c r="D2" s="378"/>
      <c r="E2" s="378"/>
      <c r="F2" s="378"/>
      <c r="G2" s="378"/>
      <c r="H2" s="378"/>
      <c r="I2" s="378"/>
      <c r="J2" s="378"/>
      <c r="K2" s="378"/>
      <c r="L2" s="378"/>
      <c r="M2" s="378"/>
      <c r="N2" s="378"/>
      <c r="O2" s="378"/>
      <c r="P2" s="378"/>
      <c r="Q2" s="378"/>
      <c r="R2" s="378"/>
      <c r="S2" s="378"/>
      <c r="T2" s="378"/>
      <c r="U2" s="378"/>
      <c r="V2" s="378"/>
      <c r="W2" s="378"/>
      <c r="X2" s="687"/>
      <c r="Y2" s="499"/>
      <c r="Z2" s="378"/>
      <c r="AA2" s="378"/>
      <c r="AB2" s="378"/>
      <c r="AC2" s="378"/>
      <c r="AD2" s="378"/>
      <c r="AE2" s="378"/>
      <c r="AF2" s="378"/>
      <c r="AG2" s="378"/>
      <c r="AH2" s="378"/>
      <c r="AI2" s="378"/>
      <c r="AJ2" s="378"/>
      <c r="AK2" s="378"/>
      <c r="AL2" s="378"/>
      <c r="AM2" s="378"/>
      <c r="AN2" s="378"/>
      <c r="AO2" s="378"/>
      <c r="AP2" s="378"/>
      <c r="AQ2" s="378"/>
      <c r="AR2" s="378"/>
      <c r="AS2" s="378"/>
      <c r="AT2" s="378"/>
      <c r="AU2" s="378"/>
      <c r="AV2" s="379"/>
      <c r="AW2" s="499"/>
      <c r="AX2" s="378"/>
      <c r="AY2" s="378"/>
      <c r="AZ2" s="378"/>
      <c r="BA2" s="378"/>
      <c r="BB2" s="378"/>
      <c r="BC2" s="378"/>
      <c r="BD2" s="378"/>
      <c r="BE2" s="378"/>
      <c r="BF2" s="378"/>
      <c r="BG2" s="378"/>
      <c r="BH2" s="378"/>
      <c r="BI2" s="378"/>
      <c r="BJ2" s="378"/>
      <c r="BK2" s="378"/>
      <c r="BL2" s="378"/>
      <c r="BM2" s="378"/>
      <c r="BN2" s="378"/>
      <c r="BO2" s="378"/>
      <c r="BP2" s="378"/>
      <c r="BQ2" s="378"/>
      <c r="BR2" s="378"/>
      <c r="BS2" s="378"/>
      <c r="BT2" s="379"/>
      <c r="BU2" s="701"/>
      <c r="BV2" s="378"/>
      <c r="BW2" s="378"/>
      <c r="BX2" s="378"/>
      <c r="BY2" s="378"/>
      <c r="BZ2" s="378"/>
      <c r="CA2" s="378"/>
      <c r="CB2" s="378"/>
      <c r="CC2" s="378"/>
      <c r="CD2" s="378"/>
      <c r="CE2" s="378"/>
      <c r="CF2" s="378"/>
      <c r="CG2" s="378"/>
      <c r="CH2" s="378"/>
      <c r="CI2" s="378"/>
      <c r="CJ2" s="378"/>
      <c r="CK2" s="378"/>
      <c r="CL2" s="378"/>
      <c r="CM2" s="378"/>
      <c r="CN2" s="378"/>
      <c r="CO2" s="378"/>
      <c r="CP2" s="378"/>
      <c r="CQ2" s="378"/>
      <c r="CR2" s="379"/>
      <c r="CS2" s="701"/>
      <c r="CT2" s="378"/>
      <c r="CU2" s="378"/>
      <c r="CV2" s="378"/>
      <c r="CW2" s="378"/>
      <c r="CX2" s="378"/>
      <c r="CY2" s="378"/>
      <c r="CZ2" s="378"/>
      <c r="DA2" s="378"/>
      <c r="DB2" s="378"/>
      <c r="DC2" s="378"/>
      <c r="DD2" s="378"/>
      <c r="DE2" s="378"/>
      <c r="DF2" s="378"/>
      <c r="DG2" s="378"/>
      <c r="DH2" s="378"/>
      <c r="DI2" s="378"/>
      <c r="DJ2" s="378"/>
      <c r="DK2" s="378"/>
      <c r="DL2" s="378"/>
      <c r="DM2" s="378"/>
      <c r="DN2" s="378"/>
      <c r="DO2" s="378"/>
      <c r="DP2" s="687"/>
      <c r="DQ2" s="499"/>
      <c r="DR2" s="378"/>
      <c r="DS2" s="378"/>
      <c r="DT2" s="378"/>
      <c r="DU2" s="378"/>
      <c r="DV2" s="378"/>
      <c r="DW2" s="378"/>
      <c r="DX2" s="378"/>
      <c r="DY2" s="378"/>
      <c r="DZ2" s="378"/>
      <c r="EA2" s="378"/>
      <c r="EB2" s="378"/>
      <c r="EC2" s="378"/>
      <c r="ED2" s="378"/>
      <c r="EE2" s="378"/>
      <c r="EF2" s="378"/>
      <c r="EG2" s="378"/>
      <c r="EH2" s="378"/>
      <c r="EI2" s="378"/>
      <c r="EJ2" s="378"/>
      <c r="EK2" s="378"/>
      <c r="EL2" s="378"/>
      <c r="EM2" s="378"/>
      <c r="EN2" s="687"/>
      <c r="EO2" s="715"/>
      <c r="EP2" s="716"/>
      <c r="EQ2" s="716"/>
      <c r="ER2" s="716"/>
      <c r="ES2" s="716"/>
      <c r="ET2" s="716"/>
      <c r="EU2" s="716"/>
      <c r="EV2" s="716"/>
      <c r="EW2" s="716"/>
      <c r="EX2" s="716"/>
      <c r="EY2" s="716"/>
      <c r="EZ2" s="716"/>
      <c r="FA2" s="716"/>
      <c r="FB2" s="716"/>
      <c r="FC2" s="716"/>
      <c r="FD2" s="716"/>
      <c r="FE2" s="716"/>
      <c r="FF2" s="716"/>
      <c r="FG2" s="716"/>
      <c r="FH2" s="716"/>
      <c r="FI2" s="716"/>
      <c r="FJ2" s="716"/>
      <c r="FK2" s="716"/>
      <c r="FL2" s="716"/>
      <c r="FM2" s="716"/>
      <c r="FN2" s="716"/>
      <c r="FO2" s="716"/>
      <c r="FP2" s="716"/>
      <c r="FQ2" s="716"/>
      <c r="FR2" s="716"/>
      <c r="FS2" s="716"/>
      <c r="FT2" s="716"/>
      <c r="FU2" s="716"/>
      <c r="FV2" s="716"/>
      <c r="FW2" s="716"/>
      <c r="FX2" s="716"/>
      <c r="FY2" s="716"/>
      <c r="FZ2" s="716"/>
      <c r="GA2" s="716"/>
      <c r="GB2" s="716"/>
      <c r="GC2" s="716"/>
      <c r="GD2" s="716"/>
      <c r="GE2" s="716"/>
      <c r="GF2" s="716"/>
      <c r="GG2" s="716"/>
    </row>
    <row r="3" spans="1:200" ht="15" customHeight="1" x14ac:dyDescent="0.25">
      <c r="A3" s="392" t="s">
        <v>60</v>
      </c>
      <c r="B3" s="391"/>
      <c r="C3" s="391"/>
      <c r="D3" s="157">
        <v>1</v>
      </c>
      <c r="E3" s="157">
        <v>2</v>
      </c>
      <c r="F3" s="157">
        <v>3</v>
      </c>
      <c r="G3" s="157">
        <v>4</v>
      </c>
      <c r="H3" s="157">
        <v>5</v>
      </c>
      <c r="I3" s="157">
        <v>6</v>
      </c>
      <c r="J3" s="157">
        <v>7</v>
      </c>
      <c r="K3" s="157">
        <v>8</v>
      </c>
      <c r="L3" s="157">
        <v>9</v>
      </c>
      <c r="M3" s="157">
        <v>10</v>
      </c>
      <c r="N3" s="157">
        <v>11</v>
      </c>
      <c r="O3" s="158">
        <v>12</v>
      </c>
      <c r="P3" s="392" t="s">
        <v>31</v>
      </c>
      <c r="Q3" s="391"/>
      <c r="R3" s="391"/>
      <c r="S3" s="391"/>
      <c r="T3" s="6">
        <v>1</v>
      </c>
      <c r="U3" s="6">
        <v>2</v>
      </c>
      <c r="V3" s="6">
        <v>3</v>
      </c>
      <c r="W3" s="6">
        <v>4</v>
      </c>
      <c r="X3" s="51">
        <v>5</v>
      </c>
      <c r="Y3" s="392" t="s">
        <v>60</v>
      </c>
      <c r="Z3" s="391"/>
      <c r="AA3" s="409"/>
      <c r="AB3" s="219">
        <v>1</v>
      </c>
      <c r="AC3" s="135">
        <v>2</v>
      </c>
      <c r="AD3" s="197">
        <v>3</v>
      </c>
      <c r="AE3" s="197">
        <v>4</v>
      </c>
      <c r="AF3" s="197">
        <v>5</v>
      </c>
      <c r="AG3" s="197">
        <v>6</v>
      </c>
      <c r="AH3" s="197">
        <v>7</v>
      </c>
      <c r="AI3" s="197">
        <v>8</v>
      </c>
      <c r="AJ3" s="197">
        <v>9</v>
      </c>
      <c r="AK3" s="197">
        <v>10</v>
      </c>
      <c r="AL3" s="197">
        <v>11</v>
      </c>
      <c r="AM3" s="200">
        <v>12</v>
      </c>
      <c r="AN3" s="392" t="s">
        <v>31</v>
      </c>
      <c r="AO3" s="391"/>
      <c r="AP3" s="391"/>
      <c r="AQ3" s="409"/>
      <c r="AR3" s="219">
        <v>1</v>
      </c>
      <c r="AS3" s="207">
        <v>2</v>
      </c>
      <c r="AT3" s="207">
        <v>3</v>
      </c>
      <c r="AU3" s="207">
        <v>4</v>
      </c>
      <c r="AV3" s="209">
        <v>5</v>
      </c>
      <c r="AW3" s="390" t="s">
        <v>60</v>
      </c>
      <c r="AX3" s="391"/>
      <c r="AY3" s="409"/>
      <c r="AZ3" s="134">
        <v>1</v>
      </c>
      <c r="BA3" s="135">
        <v>2</v>
      </c>
      <c r="BB3" s="144">
        <v>3</v>
      </c>
      <c r="BC3" s="144">
        <v>4</v>
      </c>
      <c r="BD3" s="144">
        <v>5</v>
      </c>
      <c r="BE3" s="144">
        <v>6</v>
      </c>
      <c r="BF3" s="144">
        <v>7</v>
      </c>
      <c r="BG3" s="144">
        <v>8</v>
      </c>
      <c r="BH3" s="144">
        <v>9</v>
      </c>
      <c r="BI3" s="144">
        <v>10</v>
      </c>
      <c r="BJ3" s="144">
        <v>11</v>
      </c>
      <c r="BK3" s="148">
        <v>12</v>
      </c>
      <c r="BL3" s="392" t="s">
        <v>31</v>
      </c>
      <c r="BM3" s="391"/>
      <c r="BN3" s="391"/>
      <c r="BO3" s="409"/>
      <c r="BP3" s="134">
        <v>1</v>
      </c>
      <c r="BQ3" s="156">
        <v>2</v>
      </c>
      <c r="BR3" s="156">
        <v>3</v>
      </c>
      <c r="BS3" s="156">
        <v>4</v>
      </c>
      <c r="BT3" s="182">
        <v>5</v>
      </c>
      <c r="BU3" s="390" t="s">
        <v>60</v>
      </c>
      <c r="BV3" s="391"/>
      <c r="BW3" s="391"/>
      <c r="BX3" s="157">
        <v>1</v>
      </c>
      <c r="BY3" s="157">
        <v>2</v>
      </c>
      <c r="BZ3" s="157">
        <v>3</v>
      </c>
      <c r="CA3" s="157">
        <v>4</v>
      </c>
      <c r="CB3" s="157">
        <v>5</v>
      </c>
      <c r="CC3" s="157">
        <v>6</v>
      </c>
      <c r="CD3" s="157">
        <v>7</v>
      </c>
      <c r="CE3" s="157">
        <v>8</v>
      </c>
      <c r="CF3" s="157">
        <v>9</v>
      </c>
      <c r="CG3" s="157">
        <v>10</v>
      </c>
      <c r="CH3" s="157">
        <v>11</v>
      </c>
      <c r="CI3" s="47">
        <v>12</v>
      </c>
      <c r="CJ3" s="392" t="s">
        <v>31</v>
      </c>
      <c r="CK3" s="391"/>
      <c r="CL3" s="391"/>
      <c r="CM3" s="391"/>
      <c r="CN3" s="6">
        <v>1</v>
      </c>
      <c r="CO3" s="6">
        <v>2</v>
      </c>
      <c r="CP3" s="6">
        <v>3</v>
      </c>
      <c r="CQ3" s="6">
        <v>4</v>
      </c>
      <c r="CR3" s="7">
        <v>5</v>
      </c>
      <c r="CS3" s="390" t="s">
        <v>60</v>
      </c>
      <c r="CT3" s="391"/>
      <c r="CU3" s="391"/>
      <c r="CV3" s="157">
        <v>1</v>
      </c>
      <c r="CW3" s="157">
        <v>2</v>
      </c>
      <c r="CX3" s="157">
        <v>3</v>
      </c>
      <c r="CY3" s="157">
        <v>4</v>
      </c>
      <c r="CZ3" s="157">
        <v>5</v>
      </c>
      <c r="DA3" s="157">
        <v>6</v>
      </c>
      <c r="DB3" s="157">
        <v>7</v>
      </c>
      <c r="DC3" s="157">
        <v>8</v>
      </c>
      <c r="DD3" s="157">
        <v>9</v>
      </c>
      <c r="DE3" s="157">
        <v>10</v>
      </c>
      <c r="DF3" s="157">
        <v>11</v>
      </c>
      <c r="DG3" s="158">
        <v>12</v>
      </c>
      <c r="DH3" s="392" t="s">
        <v>31</v>
      </c>
      <c r="DI3" s="391"/>
      <c r="DJ3" s="391"/>
      <c r="DK3" s="391"/>
      <c r="DL3" s="6">
        <v>1</v>
      </c>
      <c r="DM3" s="6">
        <v>2</v>
      </c>
      <c r="DN3" s="6">
        <v>3</v>
      </c>
      <c r="DO3" s="6">
        <v>4</v>
      </c>
      <c r="DP3" s="7">
        <v>5</v>
      </c>
      <c r="DQ3" s="392" t="s">
        <v>60</v>
      </c>
      <c r="DR3" s="391"/>
      <c r="DS3" s="391"/>
      <c r="DT3" s="157">
        <v>1</v>
      </c>
      <c r="DU3" s="157">
        <v>2</v>
      </c>
      <c r="DV3" s="157">
        <v>3</v>
      </c>
      <c r="DW3" s="157">
        <v>4</v>
      </c>
      <c r="DX3" s="157">
        <v>5</v>
      </c>
      <c r="DY3" s="157">
        <v>6</v>
      </c>
      <c r="DZ3" s="157">
        <v>7</v>
      </c>
      <c r="EA3" s="157">
        <v>8</v>
      </c>
      <c r="EB3" s="157">
        <v>9</v>
      </c>
      <c r="EC3" s="157">
        <v>10</v>
      </c>
      <c r="ED3" s="157">
        <v>11</v>
      </c>
      <c r="EE3" s="158">
        <v>12</v>
      </c>
      <c r="EF3" s="392" t="s">
        <v>31</v>
      </c>
      <c r="EG3" s="391"/>
      <c r="EH3" s="391"/>
      <c r="EI3" s="391"/>
      <c r="EJ3" s="6">
        <v>1</v>
      </c>
      <c r="EK3" s="6">
        <v>2</v>
      </c>
      <c r="EL3" s="6">
        <v>3</v>
      </c>
      <c r="EM3" s="6">
        <v>4</v>
      </c>
      <c r="EN3" s="51">
        <v>5</v>
      </c>
      <c r="EO3" s="717" t="s">
        <v>1810</v>
      </c>
      <c r="EP3" s="540"/>
      <c r="EQ3" s="540"/>
      <c r="ER3" s="540"/>
      <c r="ES3" s="540"/>
      <c r="ET3" s="540"/>
      <c r="EU3" s="540"/>
      <c r="EV3" s="540"/>
      <c r="EW3" s="541"/>
      <c r="EX3" s="717" t="s">
        <v>1811</v>
      </c>
      <c r="EY3" s="540"/>
      <c r="EZ3" s="540"/>
      <c r="FA3" s="540"/>
      <c r="FB3" s="540"/>
      <c r="FC3" s="540"/>
      <c r="FD3" s="540"/>
      <c r="FE3" s="540"/>
      <c r="FF3" s="541"/>
      <c r="FG3" s="717" t="s">
        <v>1812</v>
      </c>
      <c r="FH3" s="540"/>
      <c r="FI3" s="540"/>
      <c r="FJ3" s="540"/>
      <c r="FK3" s="540"/>
      <c r="FL3" s="540"/>
      <c r="FM3" s="540"/>
      <c r="FN3" s="540"/>
      <c r="FO3" s="541"/>
      <c r="FP3" s="548" t="s">
        <v>1807</v>
      </c>
      <c r="FQ3" s="547"/>
      <c r="FR3" s="547"/>
      <c r="FS3" s="547"/>
      <c r="FT3" s="547"/>
      <c r="FU3" s="547"/>
      <c r="FV3" s="547"/>
      <c r="FW3" s="547"/>
      <c r="FX3" s="556"/>
      <c r="FY3" s="548" t="s">
        <v>1808</v>
      </c>
      <c r="FZ3" s="547"/>
      <c r="GA3" s="547"/>
      <c r="GB3" s="547"/>
      <c r="GC3" s="547"/>
      <c r="GD3" s="547"/>
      <c r="GE3" s="547"/>
      <c r="GF3" s="547"/>
      <c r="GG3" s="556"/>
    </row>
    <row r="4" spans="1:200" ht="15.75" thickBot="1" x14ac:dyDescent="0.3">
      <c r="A4" s="396"/>
      <c r="B4" s="395"/>
      <c r="C4" s="395"/>
      <c r="D4" s="150">
        <v>1</v>
      </c>
      <c r="E4" s="150">
        <v>1</v>
      </c>
      <c r="F4" s="150">
        <f>IF(Creation!$AU$3+Creation!$AU$4&gt;E3,1,0)</f>
        <v>0</v>
      </c>
      <c r="G4" s="150">
        <f>IF(Creation!$AU$3+Creation!$AU$4&gt;F3,1,0)</f>
        <v>0</v>
      </c>
      <c r="H4" s="150">
        <f>IF(Creation!$AU$3+Creation!$AU$4&gt;G3,1,0)</f>
        <v>0</v>
      </c>
      <c r="I4" s="150">
        <f>IF(Creation!$AU$3+Creation!$AU$4&gt;H3,1,0)</f>
        <v>0</v>
      </c>
      <c r="J4" s="150">
        <f>IF(Creation!$AU$3+Creation!$AU$4&gt;I3,1,0)</f>
        <v>0</v>
      </c>
      <c r="K4" s="150">
        <f>IF(Creation!$AU$3+Creation!$AU$4&gt;J3,1,0)</f>
        <v>0</v>
      </c>
      <c r="L4" s="150">
        <f>IF(Creation!$AU$3+Creation!$AU$4&gt;K3,1,0)</f>
        <v>0</v>
      </c>
      <c r="M4" s="150">
        <f>IF(Creation!$AU$3+Creation!$AU$4&gt;L3,1,0)</f>
        <v>0</v>
      </c>
      <c r="N4" s="150">
        <f>IF(Creation!$AU$3+Creation!$AU$4&gt;M3,1,0)</f>
        <v>0</v>
      </c>
      <c r="O4" s="150">
        <f>IF(Creation!$AU$3+Creation!$AU$4&gt;N3,1,0)</f>
        <v>0</v>
      </c>
      <c r="P4" s="683" t="s">
        <v>22</v>
      </c>
      <c r="Q4" s="684"/>
      <c r="R4" s="684"/>
      <c r="S4" s="684"/>
      <c r="T4" s="146">
        <v>1</v>
      </c>
      <c r="U4" s="146">
        <f>IF(Creation!U19+Creation!W19&gt;1,1,0)</f>
        <v>0</v>
      </c>
      <c r="V4" s="146">
        <f>IF(Creation!U19+Creation!W19&gt;2,1,0)</f>
        <v>0</v>
      </c>
      <c r="W4" s="146">
        <f>IF(Creation!U19+Creation!W19&gt;3,1,0)</f>
        <v>0</v>
      </c>
      <c r="X4" s="147">
        <f>IF(Creation!U19+Creation!W19&gt;4,1,0)</f>
        <v>0</v>
      </c>
      <c r="Y4" s="396"/>
      <c r="Z4" s="395"/>
      <c r="AA4" s="475"/>
      <c r="AB4" s="220">
        <v>0</v>
      </c>
      <c r="AC4" s="133">
        <v>0</v>
      </c>
      <c r="AD4" s="243"/>
      <c r="AE4" s="243"/>
      <c r="AF4" s="243"/>
      <c r="AG4" s="243"/>
      <c r="AH4" s="243"/>
      <c r="AI4" s="243"/>
      <c r="AJ4" s="243"/>
      <c r="AK4" s="243"/>
      <c r="AL4" s="243"/>
      <c r="AM4" s="244"/>
      <c r="AN4" s="683" t="s">
        <v>22</v>
      </c>
      <c r="AO4" s="684"/>
      <c r="AP4" s="684"/>
      <c r="AQ4" s="699"/>
      <c r="AR4" s="221"/>
      <c r="AS4" s="240"/>
      <c r="AT4" s="240"/>
      <c r="AU4" s="240"/>
      <c r="AV4" s="241"/>
      <c r="AW4" s="394"/>
      <c r="AX4" s="395"/>
      <c r="AY4" s="475"/>
      <c r="AZ4" s="132"/>
      <c r="BA4" s="133"/>
      <c r="BB4" s="243"/>
      <c r="BC4" s="243"/>
      <c r="BD4" s="243"/>
      <c r="BE4" s="243"/>
      <c r="BF4" s="243"/>
      <c r="BG4" s="243"/>
      <c r="BH4" s="243"/>
      <c r="BI4" s="243"/>
      <c r="BJ4" s="243"/>
      <c r="BK4" s="244"/>
      <c r="BL4" s="683" t="s">
        <v>22</v>
      </c>
      <c r="BM4" s="684"/>
      <c r="BN4" s="684"/>
      <c r="BO4" s="699"/>
      <c r="BP4" s="131"/>
      <c r="BQ4" s="240"/>
      <c r="BR4" s="240"/>
      <c r="BS4" s="240"/>
      <c r="BT4" s="241"/>
      <c r="BU4" s="694"/>
      <c r="BV4" s="420"/>
      <c r="BW4" s="420"/>
      <c r="BX4" s="177">
        <v>0</v>
      </c>
      <c r="BY4" s="177">
        <v>0</v>
      </c>
      <c r="BZ4" s="177">
        <v>0</v>
      </c>
      <c r="CA4" s="177">
        <v>0</v>
      </c>
      <c r="CB4" s="177">
        <f>IF(SUM($BX4:CA4)=SUM(DemigodConversion!$AU$4),0,IF(AND(H4=0,AF4=0,BD4=0,DemigodConversion!$AU$3+DemigodConversion!$AU$4&gt;CA3),1,0))</f>
        <v>0</v>
      </c>
      <c r="CC4" s="177">
        <f>IF(SUM($BX4:CB4)=SUM(DemigodConversion!$AU$4),0,IF(AND(I4=0,AG4=0,BE4=0,DemigodConversion!$AU$3+DemigodConversion!$AU$4&gt;CB3),1,0))</f>
        <v>0</v>
      </c>
      <c r="CD4" s="177">
        <f>IF(SUM($BX4:CC4)=SUM(DemigodConversion!$AU$4),0,IF(AND(J4=0,AH4=0,BF4=0,DemigodConversion!$AU$3+DemigodConversion!$AU$4&gt;CC3),1,0))</f>
        <v>0</v>
      </c>
      <c r="CE4" s="177">
        <f>IF(SUM($BX4:CD4)=SUM(DemigodConversion!$AU$4),0,IF(AND(K4=0,AI4=0,BG4=0,DemigodConversion!$AU$3+DemigodConversion!$AU$4&gt;CD3),1,0))</f>
        <v>0</v>
      </c>
      <c r="CF4" s="177">
        <f>IF(SUM($BX4:CE4)=SUM(DemigodConversion!$AU$4),0,IF(AND(L4=0,AJ4=0,BH4=0,DemigodConversion!$AU$3+DemigodConversion!$AU$4&gt;CE3),1,0))</f>
        <v>0</v>
      </c>
      <c r="CG4" s="177">
        <f>IF(SUM($BX4:CF4)=SUM(DemigodConversion!$AU$4),0,IF(AND(M4=0,AK4=0,BI4=0,DemigodConversion!$AU$3+DemigodConversion!$AU$4&gt;CF3),1,0))</f>
        <v>0</v>
      </c>
      <c r="CH4" s="177">
        <f>IF(SUM($BX4:CG4)=SUM(DemigodConversion!$AU$4),0,IF(AND(N4=0,AL4=0,BJ4=0,DemigodConversion!$AU$3+DemigodConversion!$AU$4&gt;CG3),1,0))</f>
        <v>0</v>
      </c>
      <c r="CI4" s="178">
        <f>IF(SUM($BX4:CH4)=SUM(DemigodConversion!$AU$4),0,IF(AND(O4=0,AM4=0,BK4=0,DemigodConversion!$AU$3+DemigodConversion!$AU$4&gt;CH3),1,0))</f>
        <v>0</v>
      </c>
      <c r="CJ4" s="683" t="s">
        <v>22</v>
      </c>
      <c r="CK4" s="684"/>
      <c r="CL4" s="684"/>
      <c r="CM4" s="684"/>
      <c r="CN4" s="146">
        <v>0</v>
      </c>
      <c r="CO4" s="146">
        <f>IF(SUM($CN4:CN4)=SUM(DemigodConversion!$S30),0,IF(AND(U4=0,AS4=0,BQ4=0,DemigodConversion!$U$19+DemigodConversion!$W$19&gt;CN3),1,0))</f>
        <v>0</v>
      </c>
      <c r="CP4" s="146">
        <f>IF(SUM($CN4:CO4)=SUM(DemigodConversion!$S30),0,IF(AND(V4=0,AT4=0,BR4=0,DemigodConversion!$U$19+DemigodConversion!$W$19&gt;CO3),1,0))</f>
        <v>0</v>
      </c>
      <c r="CQ4" s="146">
        <f>IF(SUM($CN4:CP4)=SUM(DemigodConversion!$S30),0,IF(AND(W4=0,AU4=0,BS4=0,DemigodConversion!$U$19+DemigodConversion!$W$19&gt;CP3),1,0))</f>
        <v>0</v>
      </c>
      <c r="CR4" s="149">
        <f>IF(SUM($CN4:CQ4)=SUM(DemigodConversion!$S30),0,IF(AND(X4=0,AV4=0,BT4=0,DemigodConversion!$U$19+DemigodConversion!$W$19&gt;CQ3),1,0))</f>
        <v>0</v>
      </c>
      <c r="CS4" s="394"/>
      <c r="CT4" s="395"/>
      <c r="CU4" s="395"/>
      <c r="CV4" s="150">
        <v>0</v>
      </c>
      <c r="CW4" s="150">
        <v>0</v>
      </c>
      <c r="CX4" s="150">
        <v>0</v>
      </c>
      <c r="CY4" s="150">
        <v>0</v>
      </c>
      <c r="CZ4" s="150">
        <v>0</v>
      </c>
      <c r="DA4" s="150">
        <v>0</v>
      </c>
      <c r="DB4" s="150">
        <v>0</v>
      </c>
      <c r="DC4" s="150">
        <v>0</v>
      </c>
      <c r="DD4" s="150">
        <f>IF(AND(M6=0,AJ4=0,BH4=0,CF4=0,DC3&lt;GodConversion!$AU$3+GodConversion!$AU$4),1,0)</f>
        <v>0</v>
      </c>
      <c r="DE4" s="150">
        <f>IF(AND(N6=0,AK4=0,BI4=0,CG4=0,DD3&lt;GodConversion!$AU$3+GodConversion!$AU$4),1,0)</f>
        <v>0</v>
      </c>
      <c r="DF4" s="150">
        <f>IF(AND(O6=0,AL4=0,BJ4=0,CH4=0,DE3&lt;GodConversion!$AU$3+GodConversion!$AU$4),1,0)</f>
        <v>0</v>
      </c>
      <c r="DG4" s="160">
        <f>IF(AND(P6=0,AM4=0,BK4=0,CI4=0,DF3&lt;GodConversion!$AU$3+GodConversion!$AU$4),1,0)</f>
        <v>0</v>
      </c>
      <c r="DH4" s="683" t="s">
        <v>22</v>
      </c>
      <c r="DI4" s="684"/>
      <c r="DJ4" s="684"/>
      <c r="DK4" s="684"/>
      <c r="DL4" s="146">
        <v>0</v>
      </c>
      <c r="DM4" s="146">
        <f>IF(AND(U4=0,AS4=0,BQ4=0,CO4=0,DL$3&lt;GodConversion!$Q30+GodConversion!$S30),1,0)</f>
        <v>0</v>
      </c>
      <c r="DN4" s="146">
        <f>IF(AND(V4=0,AT4=0,BR4=0,CP4=0,DM$3&lt;GodConversion!$Q30+GodConversion!$S30),1,0)</f>
        <v>0</v>
      </c>
      <c r="DO4" s="146">
        <f>IF(AND(W4=0,AU4=0,BS4=0,CQ4=0,DN$3&lt;GodConversion!$Q30+GodConversion!$S30),1,0)</f>
        <v>0</v>
      </c>
      <c r="DP4" s="149">
        <f>IF(AND(X4=0,AV4=0,BT4=0,CR4=0,DO$3&lt;GodConversion!$Q30+GodConversion!$S30),1,0)</f>
        <v>0</v>
      </c>
      <c r="DQ4" s="396"/>
      <c r="DR4" s="395"/>
      <c r="DS4" s="395"/>
      <c r="DT4" s="150">
        <v>0</v>
      </c>
      <c r="DU4" s="150">
        <v>0</v>
      </c>
      <c r="DV4" s="150">
        <f>IF(AD4=1,DU3*8,0)</f>
        <v>0</v>
      </c>
      <c r="DW4" s="150">
        <f t="shared" ref="DW4:EE4" si="0">IF(AE4=1,DV3*8,0)</f>
        <v>0</v>
      </c>
      <c r="DX4" s="150">
        <f t="shared" si="0"/>
        <v>0</v>
      </c>
      <c r="DY4" s="150">
        <f t="shared" si="0"/>
        <v>0</v>
      </c>
      <c r="DZ4" s="150">
        <f t="shared" si="0"/>
        <v>0</v>
      </c>
      <c r="EA4" s="150">
        <f t="shared" si="0"/>
        <v>0</v>
      </c>
      <c r="EB4" s="150">
        <f t="shared" si="0"/>
        <v>0</v>
      </c>
      <c r="EC4" s="150">
        <f t="shared" si="0"/>
        <v>0</v>
      </c>
      <c r="ED4" s="150">
        <f t="shared" si="0"/>
        <v>0</v>
      </c>
      <c r="EE4" s="160">
        <f t="shared" si="0"/>
        <v>0</v>
      </c>
      <c r="EF4" s="683" t="s">
        <v>22</v>
      </c>
      <c r="EG4" s="684"/>
      <c r="EH4" s="684"/>
      <c r="EI4" s="684"/>
      <c r="EJ4" s="146">
        <v>0</v>
      </c>
      <c r="EK4" s="146">
        <f>IF(AS4=1,EJ$3*3,0)</f>
        <v>0</v>
      </c>
      <c r="EL4" s="146">
        <f t="shared" ref="EL4:EN4" si="1">IF(AT4=1,EK$3*3,0)</f>
        <v>0</v>
      </c>
      <c r="EM4" s="146">
        <f t="shared" si="1"/>
        <v>0</v>
      </c>
      <c r="EN4" s="199">
        <f t="shared" si="1"/>
        <v>0</v>
      </c>
      <c r="EO4" s="552"/>
      <c r="EP4" s="543"/>
      <c r="EQ4" s="543"/>
      <c r="ER4" s="543"/>
      <c r="ES4" s="543"/>
      <c r="ET4" s="543"/>
      <c r="EU4" s="543"/>
      <c r="EV4" s="543"/>
      <c r="EW4" s="544"/>
      <c r="EX4" s="552"/>
      <c r="EY4" s="543"/>
      <c r="EZ4" s="543"/>
      <c r="FA4" s="543"/>
      <c r="FB4" s="543"/>
      <c r="FC4" s="543"/>
      <c r="FD4" s="543"/>
      <c r="FE4" s="543"/>
      <c r="FF4" s="544"/>
      <c r="FG4" s="552"/>
      <c r="FH4" s="543"/>
      <c r="FI4" s="543"/>
      <c r="FJ4" s="543"/>
      <c r="FK4" s="543"/>
      <c r="FL4" s="543"/>
      <c r="FM4" s="543"/>
      <c r="FN4" s="543"/>
      <c r="FO4" s="544"/>
      <c r="FP4" s="545"/>
      <c r="FQ4" s="546"/>
      <c r="FR4" s="546"/>
      <c r="FS4" s="546"/>
      <c r="FT4" s="546"/>
      <c r="FU4" s="546"/>
      <c r="FV4" s="546"/>
      <c r="FW4" s="546"/>
      <c r="FX4" s="557"/>
      <c r="FY4" s="545"/>
      <c r="FZ4" s="546"/>
      <c r="GA4" s="546"/>
      <c r="GB4" s="546"/>
      <c r="GC4" s="546"/>
      <c r="GD4" s="546"/>
      <c r="GE4" s="546"/>
      <c r="GF4" s="546"/>
      <c r="GG4" s="557"/>
    </row>
    <row r="5" spans="1:200" ht="15.75" thickBot="1" x14ac:dyDescent="0.3">
      <c r="A5" s="392" t="s">
        <v>8</v>
      </c>
      <c r="B5" s="391"/>
      <c r="C5" s="391"/>
      <c r="D5" s="391"/>
      <c r="E5" s="157">
        <v>1</v>
      </c>
      <c r="F5" s="157">
        <v>2</v>
      </c>
      <c r="G5" s="157">
        <v>3</v>
      </c>
      <c r="H5" s="6">
        <v>4</v>
      </c>
      <c r="I5" s="6">
        <v>5</v>
      </c>
      <c r="J5" s="6">
        <v>6</v>
      </c>
      <c r="K5" s="6">
        <v>7</v>
      </c>
      <c r="L5" s="6">
        <v>8</v>
      </c>
      <c r="M5" s="6">
        <v>9</v>
      </c>
      <c r="N5" s="6">
        <v>10</v>
      </c>
      <c r="O5" s="7">
        <v>11</v>
      </c>
      <c r="P5" s="683" t="s">
        <v>23</v>
      </c>
      <c r="Q5" s="684"/>
      <c r="R5" s="684"/>
      <c r="S5" s="684"/>
      <c r="T5" s="146">
        <v>1</v>
      </c>
      <c r="U5" s="146">
        <f>IF(Creation!U20+Creation!W20&gt;1,1,0)</f>
        <v>0</v>
      </c>
      <c r="V5" s="146">
        <f>IF(Creation!U20+Creation!W20&gt;2,1,0)</f>
        <v>0</v>
      </c>
      <c r="W5" s="146">
        <f>IF(Creation!U20+Creation!W20&gt;3,1,0)</f>
        <v>0</v>
      </c>
      <c r="X5" s="147">
        <f>IF(Creation!U20+Creation!W20&gt;4,1,0)</f>
        <v>0</v>
      </c>
      <c r="Y5" s="392" t="s">
        <v>8</v>
      </c>
      <c r="Z5" s="391"/>
      <c r="AA5" s="391"/>
      <c r="AB5" s="409"/>
      <c r="AC5" s="219">
        <v>1</v>
      </c>
      <c r="AD5" s="197">
        <v>2</v>
      </c>
      <c r="AE5" s="197">
        <v>3</v>
      </c>
      <c r="AF5" s="207">
        <v>4</v>
      </c>
      <c r="AG5" s="207">
        <v>5</v>
      </c>
      <c r="AH5" s="207">
        <v>6</v>
      </c>
      <c r="AI5" s="207">
        <v>7</v>
      </c>
      <c r="AJ5" s="207">
        <v>8</v>
      </c>
      <c r="AK5" s="207">
        <v>9</v>
      </c>
      <c r="AL5" s="207">
        <v>10</v>
      </c>
      <c r="AM5" s="209">
        <v>11</v>
      </c>
      <c r="AN5" s="683" t="s">
        <v>23</v>
      </c>
      <c r="AO5" s="684"/>
      <c r="AP5" s="684"/>
      <c r="AQ5" s="699"/>
      <c r="AR5" s="221"/>
      <c r="AS5" s="240"/>
      <c r="AT5" s="240"/>
      <c r="AU5" s="240"/>
      <c r="AV5" s="241"/>
      <c r="AW5" s="390" t="s">
        <v>8</v>
      </c>
      <c r="AX5" s="391"/>
      <c r="AY5" s="391"/>
      <c r="AZ5" s="409"/>
      <c r="BA5" s="134">
        <v>1</v>
      </c>
      <c r="BB5" s="144">
        <v>2</v>
      </c>
      <c r="BC5" s="144">
        <v>3</v>
      </c>
      <c r="BD5" s="156">
        <v>4</v>
      </c>
      <c r="BE5" s="156">
        <v>5</v>
      </c>
      <c r="BF5" s="156">
        <v>6</v>
      </c>
      <c r="BG5" s="156">
        <v>7</v>
      </c>
      <c r="BH5" s="156">
        <v>8</v>
      </c>
      <c r="BI5" s="156">
        <v>9</v>
      </c>
      <c r="BJ5" s="156">
        <v>10</v>
      </c>
      <c r="BK5" s="182">
        <v>11</v>
      </c>
      <c r="BL5" s="683" t="s">
        <v>23</v>
      </c>
      <c r="BM5" s="684"/>
      <c r="BN5" s="684"/>
      <c r="BO5" s="699"/>
      <c r="BP5" s="131"/>
      <c r="BQ5" s="240"/>
      <c r="BR5" s="240"/>
      <c r="BS5" s="240"/>
      <c r="BT5" s="241"/>
      <c r="BU5" s="390" t="s">
        <v>8</v>
      </c>
      <c r="BV5" s="391"/>
      <c r="BW5" s="391"/>
      <c r="BX5" s="391"/>
      <c r="BY5" s="157">
        <v>1</v>
      </c>
      <c r="BZ5" s="157">
        <v>2</v>
      </c>
      <c r="CA5" s="157">
        <v>3</v>
      </c>
      <c r="CB5" s="6">
        <v>4</v>
      </c>
      <c r="CC5" s="6">
        <v>5</v>
      </c>
      <c r="CD5" s="6">
        <v>6</v>
      </c>
      <c r="CE5" s="6">
        <v>7</v>
      </c>
      <c r="CF5" s="6">
        <v>8</v>
      </c>
      <c r="CG5" s="6">
        <v>9</v>
      </c>
      <c r="CH5" s="6">
        <v>10</v>
      </c>
      <c r="CI5" s="51">
        <v>11</v>
      </c>
      <c r="CJ5" s="683" t="s">
        <v>23</v>
      </c>
      <c r="CK5" s="684"/>
      <c r="CL5" s="684"/>
      <c r="CM5" s="684"/>
      <c r="CN5" s="146">
        <v>0</v>
      </c>
      <c r="CO5" s="146">
        <f>IF(SUM($CN5:CN5)=SUM(DemigodConversion!$S31),0,IF(AND(U5=0,AS5=0,BQ5=0,DemigodConversion!$U$19+DemigodConversion!$W$19&gt;CN4),1,0))</f>
        <v>0</v>
      </c>
      <c r="CP5" s="146">
        <f>IF(SUM($CN5:CO5)=SUM(DemigodConversion!$S31),0,IF(AND(V5=0,AT5=0,BR5=0,DemigodConversion!$U$19+DemigodConversion!$W$19&gt;CO4),1,0))</f>
        <v>0</v>
      </c>
      <c r="CQ5" s="146">
        <f>IF(SUM($CN5:CP5)=SUM(DemigodConversion!$S31),0,IF(AND(W5=0,AU5=0,BS5=0,DemigodConversion!$U$19+DemigodConversion!$W$19&gt;CP4),1,0))</f>
        <v>0</v>
      </c>
      <c r="CR5" s="149">
        <f>IF(SUM($CN5:CQ5)=SUM(DemigodConversion!$S31),0,IF(AND(X5=0,AV5=0,BT5=0,DemigodConversion!$U$19+DemigodConversion!$W$19&gt;CQ4),1,0))</f>
        <v>0</v>
      </c>
      <c r="CS5" s="390" t="s">
        <v>8</v>
      </c>
      <c r="CT5" s="391"/>
      <c r="CU5" s="391"/>
      <c r="CV5" s="391"/>
      <c r="CW5" s="157">
        <v>1</v>
      </c>
      <c r="CX5" s="157">
        <v>2</v>
      </c>
      <c r="CY5" s="157">
        <v>3</v>
      </c>
      <c r="CZ5" s="6">
        <v>4</v>
      </c>
      <c r="DA5" s="6">
        <v>5</v>
      </c>
      <c r="DB5" s="6">
        <v>6</v>
      </c>
      <c r="DC5" s="6">
        <v>7</v>
      </c>
      <c r="DD5" s="6">
        <v>8</v>
      </c>
      <c r="DE5" s="6">
        <v>9</v>
      </c>
      <c r="DF5" s="6">
        <v>10</v>
      </c>
      <c r="DG5" s="7">
        <v>11</v>
      </c>
      <c r="DH5" s="683" t="s">
        <v>23</v>
      </c>
      <c r="DI5" s="684"/>
      <c r="DJ5" s="684"/>
      <c r="DK5" s="684"/>
      <c r="DL5" s="146">
        <v>0</v>
      </c>
      <c r="DM5" s="146">
        <f>IF(AND(U5=0,AS5=0,BQ5=0,CO5=0,DL$3&lt;GodConversion!$Q31+GodConversion!$S31),1,0)</f>
        <v>0</v>
      </c>
      <c r="DN5" s="146">
        <f>IF(AND(V5=0,AT5=0,BR5=0,CP5=0,DM$3&lt;GodConversion!$Q31+GodConversion!$S31),1,0)</f>
        <v>0</v>
      </c>
      <c r="DO5" s="146">
        <f>IF(AND(W5=0,AU5=0,BS5=0,CQ5=0,DN$3&lt;GodConversion!$Q31+GodConversion!$S31),1,0)</f>
        <v>0</v>
      </c>
      <c r="DP5" s="149">
        <f>IF(AND(X5=0,AV5=0,BT5=0,CR5=0,DO$3&lt;GodConversion!$Q31+GodConversion!$S31),1,0)</f>
        <v>0</v>
      </c>
      <c r="DQ5" s="392" t="s">
        <v>8</v>
      </c>
      <c r="DR5" s="391"/>
      <c r="DS5" s="391"/>
      <c r="DT5" s="391"/>
      <c r="DU5" s="157">
        <v>1</v>
      </c>
      <c r="DV5" s="157">
        <v>2</v>
      </c>
      <c r="DW5" s="157">
        <v>3</v>
      </c>
      <c r="DX5" s="6">
        <v>4</v>
      </c>
      <c r="DY5" s="6">
        <v>5</v>
      </c>
      <c r="DZ5" s="6">
        <v>6</v>
      </c>
      <c r="EA5" s="6">
        <v>7</v>
      </c>
      <c r="EB5" s="6">
        <v>8</v>
      </c>
      <c r="EC5" s="6">
        <v>9</v>
      </c>
      <c r="ED5" s="6">
        <v>10</v>
      </c>
      <c r="EE5" s="7">
        <v>11</v>
      </c>
      <c r="EF5" s="683" t="s">
        <v>23</v>
      </c>
      <c r="EG5" s="684"/>
      <c r="EH5" s="684"/>
      <c r="EI5" s="684"/>
      <c r="EJ5" s="146">
        <v>0</v>
      </c>
      <c r="EK5" s="146">
        <f t="shared" ref="EK5:EN5" si="2">IF(AS5=1,EJ$3*3,0)</f>
        <v>0</v>
      </c>
      <c r="EL5" s="146">
        <f t="shared" si="2"/>
        <v>0</v>
      </c>
      <c r="EM5" s="146">
        <f t="shared" si="2"/>
        <v>0</v>
      </c>
      <c r="EN5" s="199">
        <f t="shared" si="2"/>
        <v>0</v>
      </c>
      <c r="EO5" s="718"/>
      <c r="EP5" s="719"/>
      <c r="EQ5" s="719"/>
      <c r="ER5" s="719"/>
      <c r="ES5" s="719"/>
      <c r="ET5" s="719"/>
      <c r="EU5" s="719"/>
      <c r="EV5" s="719"/>
      <c r="EW5" s="720"/>
      <c r="EX5" s="718"/>
      <c r="EY5" s="719"/>
      <c r="EZ5" s="719"/>
      <c r="FA5" s="719"/>
      <c r="FB5" s="719"/>
      <c r="FC5" s="719"/>
      <c r="FD5" s="719"/>
      <c r="FE5" s="719"/>
      <c r="FF5" s="720"/>
      <c r="FG5" s="718"/>
      <c r="FH5" s="719"/>
      <c r="FI5" s="719"/>
      <c r="FJ5" s="719"/>
      <c r="FK5" s="719"/>
      <c r="FL5" s="719"/>
      <c r="FM5" s="719"/>
      <c r="FN5" s="719"/>
      <c r="FO5" s="720"/>
      <c r="FP5" s="554"/>
      <c r="FQ5" s="555"/>
      <c r="FR5" s="555"/>
      <c r="FS5" s="555"/>
      <c r="FT5" s="555"/>
      <c r="FU5" s="555"/>
      <c r="FV5" s="555"/>
      <c r="FW5" s="555"/>
      <c r="FX5" s="558"/>
      <c r="FY5" s="554"/>
      <c r="FZ5" s="555"/>
      <c r="GA5" s="555"/>
      <c r="GB5" s="555"/>
      <c r="GC5" s="555"/>
      <c r="GD5" s="555"/>
      <c r="GE5" s="555"/>
      <c r="GF5" s="555"/>
      <c r="GG5" s="558"/>
    </row>
    <row r="6" spans="1:200" ht="15.75" thickBot="1" x14ac:dyDescent="0.3">
      <c r="A6" s="677" t="s">
        <v>30</v>
      </c>
      <c r="B6" s="356"/>
      <c r="C6" s="356"/>
      <c r="D6" s="356"/>
      <c r="E6" s="146">
        <v>1</v>
      </c>
      <c r="F6" s="146">
        <f>IF(Creation!$E$19+Creation!$I$19&gt;E$5,1,0)</f>
        <v>0</v>
      </c>
      <c r="G6" s="146">
        <f>IF(Creation!$E$19+Creation!$I$19&gt;F$5,1,0)</f>
        <v>0</v>
      </c>
      <c r="H6" s="146">
        <f>IF(Creation!$E$19+Creation!$I$19&gt;G$5,1,0)</f>
        <v>0</v>
      </c>
      <c r="I6" s="146">
        <f>IF(Creation!$E$19+Creation!$I$19&gt;H$5,1,0)</f>
        <v>0</v>
      </c>
      <c r="J6" s="146">
        <f>IF(Creation!$E$19+Creation!$I$19&gt;I$5,1,0)</f>
        <v>0</v>
      </c>
      <c r="K6" s="146">
        <f>IF(Creation!$E$19+Creation!$I$19&gt;J$5,1,0)</f>
        <v>0</v>
      </c>
      <c r="L6" s="146">
        <f>IF(Creation!$E$19+Creation!$I$19&gt;K$5,1,0)</f>
        <v>0</v>
      </c>
      <c r="M6" s="146">
        <f>IF(Creation!$E$19+Creation!$I$19&gt;L$5,1,0)</f>
        <v>0</v>
      </c>
      <c r="N6" s="146">
        <f>IF(Creation!$E$19+Creation!$I$19&gt;M$5,1,0)</f>
        <v>0</v>
      </c>
      <c r="O6" s="149">
        <f>IF(Creation!$E$19+Creation!$I$19&gt;N$5,1,0)</f>
        <v>0</v>
      </c>
      <c r="P6" s="683" t="s">
        <v>24</v>
      </c>
      <c r="Q6" s="684"/>
      <c r="R6" s="684"/>
      <c r="S6" s="684"/>
      <c r="T6" s="146">
        <v>1</v>
      </c>
      <c r="U6" s="146">
        <f>IF(Creation!U21+Creation!W21&gt;1,1,0)</f>
        <v>0</v>
      </c>
      <c r="V6" s="146">
        <f>IF(Creation!U21+Creation!W21&gt;2,1,0)</f>
        <v>0</v>
      </c>
      <c r="W6" s="146">
        <f>IF(Creation!U21+Creation!W21&gt;3,1,0)</f>
        <v>0</v>
      </c>
      <c r="X6" s="147">
        <f>IF(Creation!U21+Creation!W21&gt;4,1,0)</f>
        <v>0</v>
      </c>
      <c r="Y6" s="677" t="s">
        <v>30</v>
      </c>
      <c r="Z6" s="356"/>
      <c r="AA6" s="356"/>
      <c r="AB6" s="401"/>
      <c r="AC6" s="221"/>
      <c r="AD6" s="240"/>
      <c r="AE6" s="240"/>
      <c r="AF6" s="240"/>
      <c r="AG6" s="240"/>
      <c r="AH6" s="240"/>
      <c r="AI6" s="240"/>
      <c r="AJ6" s="240"/>
      <c r="AK6" s="240"/>
      <c r="AL6" s="240"/>
      <c r="AM6" s="241"/>
      <c r="AN6" s="683" t="s">
        <v>24</v>
      </c>
      <c r="AO6" s="684"/>
      <c r="AP6" s="684"/>
      <c r="AQ6" s="699"/>
      <c r="AR6" s="221"/>
      <c r="AS6" s="240"/>
      <c r="AT6" s="240"/>
      <c r="AU6" s="240"/>
      <c r="AV6" s="241"/>
      <c r="AW6" s="690" t="s">
        <v>30</v>
      </c>
      <c r="AX6" s="356"/>
      <c r="AY6" s="356"/>
      <c r="AZ6" s="401"/>
      <c r="BA6" s="131"/>
      <c r="BB6" s="240"/>
      <c r="BC6" s="240"/>
      <c r="BD6" s="240"/>
      <c r="BE6" s="240"/>
      <c r="BF6" s="240"/>
      <c r="BG6" s="240"/>
      <c r="BH6" s="240"/>
      <c r="BI6" s="240"/>
      <c r="BJ6" s="240"/>
      <c r="BK6" s="241"/>
      <c r="BL6" s="683" t="s">
        <v>24</v>
      </c>
      <c r="BM6" s="684"/>
      <c r="BN6" s="684"/>
      <c r="BO6" s="699"/>
      <c r="BP6" s="131"/>
      <c r="BQ6" s="240"/>
      <c r="BR6" s="240"/>
      <c r="BS6" s="240"/>
      <c r="BT6" s="241"/>
      <c r="BU6" s="690" t="s">
        <v>30</v>
      </c>
      <c r="BV6" s="356"/>
      <c r="BW6" s="356"/>
      <c r="BX6" s="356"/>
      <c r="BY6" s="146">
        <v>0</v>
      </c>
      <c r="BZ6" s="146">
        <f>IF(SUM($BY6:BY6)=SUM(DemigodConversion!$G19:$L19),0,IF(AND(F6=0,AD6=0,BB6=0,DemigodConversion!$E19+DemigodConversion!$G19+DemigodConversion!$I19&gt;BY$5),1,0))</f>
        <v>0</v>
      </c>
      <c r="CA6" s="146">
        <f>IF(SUM($BY6:BZ6)=SUM(DemigodConversion!$G19:$L19),0,IF(AND(G6=0,AE6=0,BC6=0,DemigodConversion!$E19+DemigodConversion!$G19+DemigodConversion!$I19&gt;BZ$5),1,0))</f>
        <v>0</v>
      </c>
      <c r="CB6" s="146">
        <f>IF(SUM($BY6:CA6)=SUM(DemigodConversion!$G19:$L19),0,IF(AND(H6=0,AF6=0,BD6=0,DemigodConversion!$E19+DemigodConversion!$G19+DemigodConversion!$I19&gt;CA$5),1,0))</f>
        <v>0</v>
      </c>
      <c r="CC6" s="146">
        <f>IF(SUM($BY6:CB6)=SUM(DemigodConversion!$G19:$L19),0,IF(AND(I6=0,AG6=0,BE6=0,DemigodConversion!$E19+DemigodConversion!$G19+DemigodConversion!$I19&gt;CB$5),1,0))</f>
        <v>0</v>
      </c>
      <c r="CD6" s="146">
        <f>IF(SUM($BY6:CC6)=SUM(DemigodConversion!$G19:$L19),0,IF(AND(J6=0,AH6=0,BF6=0,DemigodConversion!$E19+DemigodConversion!$G19+DemigodConversion!$I19&gt;CC$5),1,0))</f>
        <v>0</v>
      </c>
      <c r="CE6" s="146">
        <f>IF(SUM($BY6:CD6)=SUM(DemigodConversion!$G19:$L19),0,IF(AND(K6=0,AI6=0,BG6=0,DemigodConversion!$E19+DemigodConversion!$G19+DemigodConversion!$I19&gt;CD$5),1,0))</f>
        <v>0</v>
      </c>
      <c r="CF6" s="146">
        <f>IF(SUM($BY6:CE6)=SUM(DemigodConversion!$G19:$L19),0,IF(AND(L6=0,AJ6=0,BH6=0,DemigodConversion!$E19+DemigodConversion!$G19+DemigodConversion!$I19&gt;CE$5),1,0))</f>
        <v>0</v>
      </c>
      <c r="CG6" s="146">
        <f>IF(SUM($BY6:CF6)=SUM(DemigodConversion!$G19:$L19),0,IF(AND(M6=0,AK6=0,BI6=0,DemigodConversion!$E19+DemigodConversion!$G19+DemigodConversion!$I19&gt;CF$5),1,0))</f>
        <v>0</v>
      </c>
      <c r="CH6" s="146">
        <f>IF(SUM($BY6:CG6)=SUM(DemigodConversion!$G19:$L19),0,IF(AND(N6=0,AL6=0,BJ6=0,DemigodConversion!$E19+DemigodConversion!$G19+DemigodConversion!$I19&gt;CG$5),1,0))</f>
        <v>0</v>
      </c>
      <c r="CI6" s="147">
        <f>IF(SUM($BY6:CH6)=SUM(DemigodConversion!$G19:$L19),0,IF(AND(O6=0,AM6=0,BK6=0,DemigodConversion!$E19+DemigodConversion!$G19+DemigodConversion!$I19&gt;CH$5),1,0))</f>
        <v>0</v>
      </c>
      <c r="CJ6" s="683" t="s">
        <v>24</v>
      </c>
      <c r="CK6" s="684"/>
      <c r="CL6" s="684"/>
      <c r="CM6" s="684"/>
      <c r="CN6" s="146">
        <v>0</v>
      </c>
      <c r="CO6" s="146">
        <f>IF(SUM($CN6:CN6)=SUM(DemigodConversion!$S32),0,IF(AND(U6=0,AS6=0,BQ6=0,DemigodConversion!$U$19+DemigodConversion!$W$19&gt;CN5),1,0))</f>
        <v>0</v>
      </c>
      <c r="CP6" s="146">
        <f>IF(SUM($CN6:CO6)=SUM(DemigodConversion!$S32),0,IF(AND(V6=0,AT6=0,BR6=0,DemigodConversion!$U$19+DemigodConversion!$W$19&gt;CO5),1,0))</f>
        <v>0</v>
      </c>
      <c r="CQ6" s="146">
        <f>IF(SUM($CN6:CP6)=SUM(DemigodConversion!$S32),0,IF(AND(W6=0,AU6=0,BS6=0,DemigodConversion!$U$19+DemigodConversion!$W$19&gt;CP5),1,0))</f>
        <v>0</v>
      </c>
      <c r="CR6" s="149">
        <f>IF(SUM($CN6:CQ6)=SUM(DemigodConversion!$S32),0,IF(AND(X6=0,AV6=0,BT6=0,DemigodConversion!$U$19+DemigodConversion!$W$19&gt;CQ5),1,0))</f>
        <v>0</v>
      </c>
      <c r="CS6" s="690" t="s">
        <v>30</v>
      </c>
      <c r="CT6" s="356"/>
      <c r="CU6" s="356"/>
      <c r="CV6" s="356"/>
      <c r="CW6" s="146">
        <v>0</v>
      </c>
      <c r="CX6" s="146">
        <f>IF(AND(F6=0,AD6=0,BB6=0,BZ6=0,CW$5&lt;SUM(GodConversion!$E19:$L19)),1,0)</f>
        <v>0</v>
      </c>
      <c r="CY6" s="146">
        <f>IF(AND(G6=0,AE6=0,BC6=0,CA6=0,CX$5&lt;SUM(GodConversion!$E19:$L19)),1,0)</f>
        <v>0</v>
      </c>
      <c r="CZ6" s="146">
        <f>IF(AND(H6=0,AF6=0,BD6=0,CB6=0,CY$5&lt;SUM(GodConversion!$E19:$L19)),1,0)</f>
        <v>0</v>
      </c>
      <c r="DA6" s="146">
        <f>IF(AND(I6=0,AG6=0,BE6=0,CC6=0,CZ$5&lt;SUM(GodConversion!$E19:$L19)),1,0)</f>
        <v>0</v>
      </c>
      <c r="DB6" s="146">
        <f>IF(AND(J6=0,AH6=0,BF6=0,CD6=0,DA$5&lt;SUM(GodConversion!$E19:$L19)),1,0)</f>
        <v>0</v>
      </c>
      <c r="DC6" s="146">
        <f>IF(AND(K6=0,AI6=0,BG6=0,CE6=0,DB$5&lt;SUM(GodConversion!$E19:$L19)),1,0)</f>
        <v>0</v>
      </c>
      <c r="DD6" s="146">
        <f>IF(AND(L6=0,AJ6=0,BH6=0,CF6=0,DC$5&lt;SUM(GodConversion!$E19:$L19)),1,0)</f>
        <v>0</v>
      </c>
      <c r="DE6" s="146">
        <f>IF(AND(M6=0,AK6=0,BI6=0,CG6=0,DD$5&lt;SUM(GodConversion!$E19:$L19)),1,0)</f>
        <v>0</v>
      </c>
      <c r="DF6" s="146">
        <f>IF(AND(N6=0,AL6=0,BJ6=0,CH6=0,DE$5&lt;SUM(GodConversion!$E19:$L19)),1,0)</f>
        <v>0</v>
      </c>
      <c r="DG6" s="146">
        <f>IF(AND(O6=0,AM6=0,BK6=0,CI6=0,DF$5&lt;SUM(GodConversion!$E19:$L19)),1,0)</f>
        <v>0</v>
      </c>
      <c r="DH6" s="683" t="s">
        <v>24</v>
      </c>
      <c r="DI6" s="684"/>
      <c r="DJ6" s="684"/>
      <c r="DK6" s="684"/>
      <c r="DL6" s="146">
        <v>0</v>
      </c>
      <c r="DM6" s="146">
        <f>IF(AND(U6=0,AS6=0,BQ6=0,CO6=0,DL$3&lt;GodConversion!$Q32+GodConversion!$S32),1,0)</f>
        <v>0</v>
      </c>
      <c r="DN6" s="146">
        <f>IF(AND(V6=0,AT6=0,BR6=0,CP6=0,DM$3&lt;GodConversion!$Q32+GodConversion!$S32),1,0)</f>
        <v>0</v>
      </c>
      <c r="DO6" s="146">
        <f>IF(AND(W6=0,AU6=0,BS6=0,CQ6=0,DN$3&lt;GodConversion!$Q32+GodConversion!$S32),1,0)</f>
        <v>0</v>
      </c>
      <c r="DP6" s="149">
        <f>IF(AND(X6=0,AV6=0,BT6=0,CR6=0,DO$3&lt;GodConversion!$Q32+GodConversion!$S32),1,0)</f>
        <v>0</v>
      </c>
      <c r="DQ6" s="677" t="s">
        <v>30</v>
      </c>
      <c r="DR6" s="356"/>
      <c r="DS6" s="356"/>
      <c r="DT6" s="356"/>
      <c r="DU6" s="146">
        <v>0</v>
      </c>
      <c r="DV6" s="146">
        <f>IF(AD6=1,DU$5*4,0)</f>
        <v>0</v>
      </c>
      <c r="DW6" s="146">
        <f t="shared" ref="DW6:EE6" si="3">IF(AE6=1,DV$5*4,0)</f>
        <v>0</v>
      </c>
      <c r="DX6" s="146">
        <f>IF(AF6=1,DW$5*4,0)</f>
        <v>0</v>
      </c>
      <c r="DY6" s="146">
        <f t="shared" si="3"/>
        <v>0</v>
      </c>
      <c r="DZ6" s="146">
        <f t="shared" si="3"/>
        <v>0</v>
      </c>
      <c r="EA6" s="146">
        <f t="shared" si="3"/>
        <v>0</v>
      </c>
      <c r="EB6" s="146">
        <f t="shared" si="3"/>
        <v>0</v>
      </c>
      <c r="EC6" s="146">
        <f t="shared" si="3"/>
        <v>0</v>
      </c>
      <c r="ED6" s="146">
        <f t="shared" si="3"/>
        <v>0</v>
      </c>
      <c r="EE6" s="149">
        <f t="shared" si="3"/>
        <v>0</v>
      </c>
      <c r="EF6" s="683" t="s">
        <v>24</v>
      </c>
      <c r="EG6" s="684"/>
      <c r="EH6" s="684"/>
      <c r="EI6" s="684"/>
      <c r="EJ6" s="146">
        <v>0</v>
      </c>
      <c r="EK6" s="146">
        <f t="shared" ref="EK6:EN6" si="4">IF(AS6=1,EJ$3*3,0)</f>
        <v>0</v>
      </c>
      <c r="EL6" s="146">
        <f t="shared" si="4"/>
        <v>0</v>
      </c>
      <c r="EM6" s="146">
        <f t="shared" si="4"/>
        <v>0</v>
      </c>
      <c r="EN6" s="199">
        <f t="shared" si="4"/>
        <v>0</v>
      </c>
      <c r="EO6" s="392" t="s">
        <v>69</v>
      </c>
      <c r="EP6" s="391"/>
      <c r="EQ6" s="391"/>
      <c r="ER6" s="409"/>
      <c r="ES6" s="206">
        <v>1</v>
      </c>
      <c r="ET6" s="207">
        <v>2</v>
      </c>
      <c r="EU6" s="207">
        <v>3</v>
      </c>
      <c r="EV6" s="207">
        <v>4</v>
      </c>
      <c r="EW6" s="200">
        <v>5</v>
      </c>
      <c r="EX6" s="392" t="s">
        <v>69</v>
      </c>
      <c r="EY6" s="391"/>
      <c r="EZ6" s="391"/>
      <c r="FA6" s="409"/>
      <c r="FB6" s="224">
        <v>1</v>
      </c>
      <c r="FC6" s="225">
        <v>2</v>
      </c>
      <c r="FD6" s="225">
        <v>3</v>
      </c>
      <c r="FE6" s="225">
        <v>4</v>
      </c>
      <c r="FF6" s="226">
        <v>5</v>
      </c>
      <c r="FG6" s="392" t="s">
        <v>69</v>
      </c>
      <c r="FH6" s="391"/>
      <c r="FI6" s="391"/>
      <c r="FJ6" s="409"/>
      <c r="FK6" s="206">
        <v>1</v>
      </c>
      <c r="FL6" s="207">
        <v>2</v>
      </c>
      <c r="FM6" s="207">
        <v>3</v>
      </c>
      <c r="FN6" s="207">
        <v>4</v>
      </c>
      <c r="FO6" s="200">
        <v>5</v>
      </c>
      <c r="FP6" s="392" t="s">
        <v>69</v>
      </c>
      <c r="FQ6" s="391"/>
      <c r="FR6" s="391"/>
      <c r="FS6" s="409"/>
      <c r="FT6" s="206">
        <v>1</v>
      </c>
      <c r="FU6" s="207">
        <v>2</v>
      </c>
      <c r="FV6" s="207">
        <v>3</v>
      </c>
      <c r="FW6" s="207">
        <v>4</v>
      </c>
      <c r="FX6" s="200">
        <v>5</v>
      </c>
      <c r="FY6" s="392" t="s">
        <v>69</v>
      </c>
      <c r="FZ6" s="391"/>
      <c r="GA6" s="391"/>
      <c r="GB6" s="409"/>
      <c r="GC6" s="206">
        <v>1</v>
      </c>
      <c r="GD6" s="207">
        <v>2</v>
      </c>
      <c r="GE6" s="207">
        <v>3</v>
      </c>
      <c r="GF6" s="207">
        <v>4</v>
      </c>
      <c r="GG6" s="200">
        <v>5</v>
      </c>
      <c r="GK6" s="222"/>
      <c r="GL6" s="222" t="s">
        <v>1809</v>
      </c>
      <c r="GM6" s="222">
        <v>1</v>
      </c>
      <c r="GN6" s="222">
        <v>2</v>
      </c>
      <c r="GO6" s="222">
        <v>3</v>
      </c>
      <c r="GP6" s="222">
        <v>4</v>
      </c>
      <c r="GQ6" s="222">
        <v>5</v>
      </c>
      <c r="GR6" s="222">
        <v>6</v>
      </c>
    </row>
    <row r="7" spans="1:200" ht="15.75" thickBot="1" x14ac:dyDescent="0.3">
      <c r="A7" s="677" t="s">
        <v>13</v>
      </c>
      <c r="B7" s="356"/>
      <c r="C7" s="356"/>
      <c r="D7" s="356"/>
      <c r="E7" s="146">
        <v>1</v>
      </c>
      <c r="F7" s="146">
        <f>IF(Creation!$E$20+Creation!$I$20&gt;E$5,1,0)</f>
        <v>0</v>
      </c>
      <c r="G7" s="146">
        <f>IF(Creation!$E$20+Creation!$I$20&gt;F$5,1,0)</f>
        <v>0</v>
      </c>
      <c r="H7" s="146">
        <f>IF(Creation!$E$20+Creation!$I$20&gt;G$5,1,0)</f>
        <v>0</v>
      </c>
      <c r="I7" s="146">
        <f>IF(Creation!$E$20+Creation!$I$20&gt;H$5,1,0)</f>
        <v>0</v>
      </c>
      <c r="J7" s="146">
        <f>IF(Creation!$E$20+Creation!$I$20&gt;I$5,1,0)</f>
        <v>0</v>
      </c>
      <c r="K7" s="146">
        <f>IF(Creation!$E$20+Creation!$I$20&gt;J$5,1,0)</f>
        <v>0</v>
      </c>
      <c r="L7" s="146">
        <f>IF(Creation!$E$20+Creation!$I$20&gt;K$5,1,0)</f>
        <v>0</v>
      </c>
      <c r="M7" s="146">
        <f>IF(Creation!$E$20+Creation!$I$20&gt;L$5,1,0)</f>
        <v>0</v>
      </c>
      <c r="N7" s="146">
        <f>IF(Creation!$E$20+Creation!$I$20&gt;M$5,1,0)</f>
        <v>0</v>
      </c>
      <c r="O7" s="149">
        <f>IF(Creation!$E$20+Creation!$I$20&gt;N$5,1,0)</f>
        <v>0</v>
      </c>
      <c r="P7" s="685" t="s">
        <v>25</v>
      </c>
      <c r="Q7" s="686"/>
      <c r="R7" s="686"/>
      <c r="S7" s="686"/>
      <c r="T7" s="150">
        <v>1</v>
      </c>
      <c r="U7" s="150">
        <f>IF(Creation!U22+Creation!W22&gt;1,1,0)</f>
        <v>0</v>
      </c>
      <c r="V7" s="150">
        <f>IF(Creation!U22+Creation!W22&gt;2,1,0)</f>
        <v>0</v>
      </c>
      <c r="W7" s="150">
        <f>IF(Creation!U22+Creation!W22&gt;3,1,0)</f>
        <v>0</v>
      </c>
      <c r="X7" s="151">
        <f>IF(Creation!U22+Creation!W22&gt;4,1,0)</f>
        <v>0</v>
      </c>
      <c r="Y7" s="677" t="s">
        <v>13</v>
      </c>
      <c r="Z7" s="356"/>
      <c r="AA7" s="356"/>
      <c r="AB7" s="401"/>
      <c r="AC7" s="221"/>
      <c r="AD7" s="240"/>
      <c r="AE7" s="240"/>
      <c r="AF7" s="240"/>
      <c r="AG7" s="240"/>
      <c r="AH7" s="240"/>
      <c r="AI7" s="240"/>
      <c r="AJ7" s="240"/>
      <c r="AK7" s="240"/>
      <c r="AL7" s="240"/>
      <c r="AM7" s="241"/>
      <c r="AN7" s="685" t="s">
        <v>25</v>
      </c>
      <c r="AO7" s="686"/>
      <c r="AP7" s="686"/>
      <c r="AQ7" s="700"/>
      <c r="AR7" s="220"/>
      <c r="AS7" s="243"/>
      <c r="AT7" s="243"/>
      <c r="AU7" s="243"/>
      <c r="AV7" s="244"/>
      <c r="AW7" s="690" t="s">
        <v>13</v>
      </c>
      <c r="AX7" s="356"/>
      <c r="AY7" s="356"/>
      <c r="AZ7" s="401"/>
      <c r="BA7" s="131"/>
      <c r="BB7" s="240"/>
      <c r="BC7" s="240"/>
      <c r="BD7" s="240"/>
      <c r="BE7" s="240"/>
      <c r="BF7" s="240"/>
      <c r="BG7" s="240"/>
      <c r="BH7" s="240"/>
      <c r="BI7" s="240"/>
      <c r="BJ7" s="240"/>
      <c r="BK7" s="241"/>
      <c r="BL7" s="685" t="s">
        <v>25</v>
      </c>
      <c r="BM7" s="686"/>
      <c r="BN7" s="686"/>
      <c r="BO7" s="700"/>
      <c r="BP7" s="132"/>
      <c r="BQ7" s="243"/>
      <c r="BR7" s="243"/>
      <c r="BS7" s="243"/>
      <c r="BT7" s="244"/>
      <c r="BU7" s="690" t="s">
        <v>13</v>
      </c>
      <c r="BV7" s="356"/>
      <c r="BW7" s="356"/>
      <c r="BX7" s="356"/>
      <c r="BY7" s="146">
        <v>0</v>
      </c>
      <c r="BZ7" s="146">
        <f>IF(SUM($BY7:BY7)=SUM(DemigodConversion!$G20:$L20),0,IF(AND(F7=0,AD7=0,BB7=0,DemigodConversion!$E20+DemigodConversion!$G20+DemigodConversion!$I20&gt;BY$5),1,0))</f>
        <v>0</v>
      </c>
      <c r="CA7" s="146">
        <f>IF(SUM($BY7:BZ7)=SUM(DemigodConversion!$G20:$L20),0,IF(AND(G7=0,AE7=0,BC7=0,DemigodConversion!$E20+DemigodConversion!$G20+DemigodConversion!$I20&gt;BZ$5),1,0))</f>
        <v>0</v>
      </c>
      <c r="CB7" s="146">
        <f>IF(SUM($BY7:CA7)=SUM(DemigodConversion!$G20:$L20),0,IF(AND(H7=0,AF7=0,BD7=0,DemigodConversion!$E20+DemigodConversion!$G20+DemigodConversion!$I20&gt;CA$5),1,0))</f>
        <v>0</v>
      </c>
      <c r="CC7" s="146">
        <f>IF(SUM($BY7:CB7)=SUM(DemigodConversion!$G20:$L20),0,IF(AND(I7=0,AG7=0,BE7=0,DemigodConversion!$E20+DemigodConversion!$G20+DemigodConversion!$I20&gt;CB$5),1,0))</f>
        <v>0</v>
      </c>
      <c r="CD7" s="146">
        <f>IF(SUM($BY7:CC7)=SUM(DemigodConversion!$G20:$L20),0,IF(AND(J7=0,AH7=0,BF7=0,DemigodConversion!$E20+DemigodConversion!$G20+DemigodConversion!$I20&gt;CC$5),1,0))</f>
        <v>0</v>
      </c>
      <c r="CE7" s="146">
        <f>IF(SUM($BY7:CD7)=SUM(DemigodConversion!$G20:$L20),0,IF(AND(K7=0,AI7=0,BG7=0,DemigodConversion!$E20+DemigodConversion!$G20+DemigodConversion!$I20&gt;CD$5),1,0))</f>
        <v>0</v>
      </c>
      <c r="CF7" s="146">
        <f>IF(SUM($BY7:CE7)=SUM(DemigodConversion!$G20:$L20),0,IF(AND(L7=0,AJ7=0,BH7=0,DemigodConversion!$E20+DemigodConversion!$G20+DemigodConversion!$I20&gt;CE$5),1,0))</f>
        <v>0</v>
      </c>
      <c r="CG7" s="146">
        <f>IF(SUM($BY7:CF7)=SUM(DemigodConversion!$G20:$L20),0,IF(AND(M7=0,AK7=0,BI7=0,DemigodConversion!$E20+DemigodConversion!$G20+DemigodConversion!$I20&gt;CF$5),1,0))</f>
        <v>0</v>
      </c>
      <c r="CH7" s="146">
        <f>IF(SUM($BY7:CG7)=SUM(DemigodConversion!$G20:$L20),0,IF(AND(N7=0,AL7=0,BJ7=0,DemigodConversion!$E20+DemigodConversion!$G20+DemigodConversion!$I20&gt;CG$5),1,0))</f>
        <v>0</v>
      </c>
      <c r="CI7" s="147">
        <f>IF(SUM($BY7:CH7)=SUM(DemigodConversion!$G20:$L20),0,IF(AND(O7=0,AM7=0,BK7=0,DemigodConversion!$E20+DemigodConversion!$G20+DemigodConversion!$I20&gt;CH$5),1,0))</f>
        <v>0</v>
      </c>
      <c r="CJ7" s="692" t="s">
        <v>25</v>
      </c>
      <c r="CK7" s="693"/>
      <c r="CL7" s="693"/>
      <c r="CM7" s="693"/>
      <c r="CN7" s="177">
        <v>0</v>
      </c>
      <c r="CO7" s="177">
        <f>IF(SUM($CN7:CN7)=SUM(DemigodConversion!$S33),0,IF(AND(U7=0,AS7=0,BQ7=0,DemigodConversion!$U$19+DemigodConversion!$W$19&gt;CN6),1,0))</f>
        <v>0</v>
      </c>
      <c r="CP7" s="177">
        <f>IF(SUM($CN7:CO7)=SUM(DemigodConversion!$S33),0,IF(AND(V7=0,AT7=0,BR7=0,DemigodConversion!$U$19+DemigodConversion!$W$19&gt;CO6),1,0))</f>
        <v>0</v>
      </c>
      <c r="CQ7" s="177">
        <f>IF(SUM($CN7:CP7)=SUM(DemigodConversion!$S33),0,IF(AND(W7=0,AU7=0,BS7=0,DemigodConversion!$U$19+DemigodConversion!$W$19&gt;CP6),1,0))</f>
        <v>0</v>
      </c>
      <c r="CR7" s="55">
        <f>IF(SUM($CN7:CQ7)=SUM(DemigodConversion!$S33),0,IF(AND(X7=0,AV7=0,BT7=0,DemigodConversion!$U$19+DemigodConversion!$W$19&gt;CQ6),1,0))</f>
        <v>0</v>
      </c>
      <c r="CS7" s="690" t="s">
        <v>13</v>
      </c>
      <c r="CT7" s="356"/>
      <c r="CU7" s="356"/>
      <c r="CV7" s="356"/>
      <c r="CW7" s="146">
        <v>0</v>
      </c>
      <c r="CX7" s="146">
        <f>IF(AND(F7=0,AD7=0,BB7=0,BZ7=0,CW$5&lt;SUM(GodConversion!$E20:$L20)),1,0)</f>
        <v>0</v>
      </c>
      <c r="CY7" s="146">
        <f>IF(AND(G7=0,AE7=0,BC7=0,CA7=0,CX$5&lt;SUM(GodConversion!$E20:$L20)),1,0)</f>
        <v>0</v>
      </c>
      <c r="CZ7" s="146">
        <f>IF(AND(H7=0,AF7=0,BD7=0,CB7=0,CY$5&lt;SUM(GodConversion!$E20:$L20)),1,0)</f>
        <v>0</v>
      </c>
      <c r="DA7" s="146">
        <f>IF(AND(I7=0,AG7=0,BE7=0,CC7=0,CZ$5&lt;SUM(GodConversion!$E20:$L20)),1,0)</f>
        <v>0</v>
      </c>
      <c r="DB7" s="146">
        <f>IF(AND(J7=0,AH7=0,BF7=0,CD7=0,DA$5&lt;SUM(GodConversion!$E20:$L20)),1,0)</f>
        <v>0</v>
      </c>
      <c r="DC7" s="146">
        <f>IF(AND(K7=0,AI7=0,BG7=0,CE7=0,DB$5&lt;SUM(GodConversion!$E20:$L20)),1,0)</f>
        <v>0</v>
      </c>
      <c r="DD7" s="146">
        <f>IF(AND(L7=0,AJ7=0,BH7=0,CF7=0,DC$5&lt;SUM(GodConversion!$E20:$L20)),1,0)</f>
        <v>0</v>
      </c>
      <c r="DE7" s="146">
        <f>IF(AND(M7=0,AK7=0,BI7=0,CG7=0,DD$5&lt;SUM(GodConversion!$E20:$L20)),1,0)</f>
        <v>0</v>
      </c>
      <c r="DF7" s="146">
        <f>IF(AND(N7=0,AL7=0,BJ7=0,CH7=0,DE$5&lt;SUM(GodConversion!$E20:$L20)),1,0)</f>
        <v>0</v>
      </c>
      <c r="DG7" s="146">
        <f>IF(AND(O7=0,AM7=0,BK7=0,CI7=0,DF$5&lt;SUM(GodConversion!$E20:$L20)),1,0)</f>
        <v>0</v>
      </c>
      <c r="DH7" s="685" t="s">
        <v>25</v>
      </c>
      <c r="DI7" s="686"/>
      <c r="DJ7" s="686"/>
      <c r="DK7" s="686"/>
      <c r="DL7" s="150">
        <v>0</v>
      </c>
      <c r="DM7" s="150">
        <f>IF(AND(U7=0,AS7=0,BQ7=0,CO7=0,DL$3&lt;GodConversion!$Q33+GodConversion!$S33),1,0)</f>
        <v>0</v>
      </c>
      <c r="DN7" s="150">
        <f>IF(AND(V7=0,AT7=0,BR7=0,CP7=0,DM$3&lt;GodConversion!$Q33+GodConversion!$S33),1,0)</f>
        <v>0</v>
      </c>
      <c r="DO7" s="150">
        <f>IF(AND(W7=0,AU7=0,BS7=0,CQ7=0,DN$3&lt;GodConversion!$Q33+GodConversion!$S33),1,0)</f>
        <v>0</v>
      </c>
      <c r="DP7" s="160">
        <f>IF(AND(X7=0,AV7=0,BT7=0,CR7=0,DO$3&lt;GodConversion!$Q33+GodConversion!$S33),1,0)</f>
        <v>0</v>
      </c>
      <c r="DQ7" s="677" t="s">
        <v>13</v>
      </c>
      <c r="DR7" s="356"/>
      <c r="DS7" s="356"/>
      <c r="DT7" s="356"/>
      <c r="DU7" s="146">
        <v>0</v>
      </c>
      <c r="DV7" s="146">
        <f t="shared" ref="DV7:EE7" si="5">IF(AD7=1,DU$5*4,0)</f>
        <v>0</v>
      </c>
      <c r="DW7" s="146">
        <f t="shared" si="5"/>
        <v>0</v>
      </c>
      <c r="DX7" s="146">
        <f t="shared" si="5"/>
        <v>0</v>
      </c>
      <c r="DY7" s="146">
        <f t="shared" si="5"/>
        <v>0</v>
      </c>
      <c r="DZ7" s="146">
        <f t="shared" si="5"/>
        <v>0</v>
      </c>
      <c r="EA7" s="146">
        <f t="shared" si="5"/>
        <v>0</v>
      </c>
      <c r="EB7" s="146">
        <f t="shared" si="5"/>
        <v>0</v>
      </c>
      <c r="EC7" s="146">
        <f t="shared" si="5"/>
        <v>0</v>
      </c>
      <c r="ED7" s="146">
        <f t="shared" si="5"/>
        <v>0</v>
      </c>
      <c r="EE7" s="149">
        <f t="shared" si="5"/>
        <v>0</v>
      </c>
      <c r="EF7" s="685" t="s">
        <v>25</v>
      </c>
      <c r="EG7" s="686"/>
      <c r="EH7" s="686"/>
      <c r="EI7" s="686"/>
      <c r="EJ7" s="150">
        <v>0</v>
      </c>
      <c r="EK7" s="150">
        <f t="shared" ref="EK7:EN7" si="6">IF(AS7=1,EJ$3*3,0)</f>
        <v>0</v>
      </c>
      <c r="EL7" s="150">
        <f t="shared" si="6"/>
        <v>0</v>
      </c>
      <c r="EM7" s="150">
        <f t="shared" si="6"/>
        <v>0</v>
      </c>
      <c r="EN7" s="201">
        <f t="shared" si="6"/>
        <v>0</v>
      </c>
      <c r="EO7" s="677" t="s">
        <v>35</v>
      </c>
      <c r="EP7" s="356"/>
      <c r="EQ7" s="356"/>
      <c r="ER7" s="401"/>
      <c r="ES7" s="239"/>
      <c r="ET7" s="240"/>
      <c r="EU7" s="240"/>
      <c r="EV7" s="240"/>
      <c r="EW7" s="240"/>
      <c r="EX7" s="677" t="s">
        <v>35</v>
      </c>
      <c r="EY7" s="356"/>
      <c r="EZ7" s="356"/>
      <c r="FA7" s="357"/>
      <c r="FB7" s="245"/>
      <c r="FC7" s="246"/>
      <c r="FD7" s="246"/>
      <c r="FE7" s="246"/>
      <c r="FF7" s="247"/>
      <c r="FG7" s="721" t="s">
        <v>35</v>
      </c>
      <c r="FH7" s="712"/>
      <c r="FI7" s="712"/>
      <c r="FJ7" s="713"/>
      <c r="FK7" s="236"/>
      <c r="FL7" s="237"/>
      <c r="FM7" s="237"/>
      <c r="FN7" s="237"/>
      <c r="FO7" s="238"/>
      <c r="FP7" s="677" t="s">
        <v>35</v>
      </c>
      <c r="FQ7" s="356"/>
      <c r="FR7" s="356"/>
      <c r="FS7" s="401"/>
      <c r="FT7" s="239"/>
      <c r="FU7" s="240"/>
      <c r="FV7" s="240"/>
      <c r="FW7" s="240"/>
      <c r="FX7" s="241"/>
      <c r="FY7" s="711" t="s">
        <v>35</v>
      </c>
      <c r="FZ7" s="712"/>
      <c r="GA7" s="712"/>
      <c r="GB7" s="713"/>
      <c r="GC7" s="236"/>
      <c r="GD7" s="237"/>
      <c r="GE7" s="237"/>
      <c r="GF7" s="237"/>
      <c r="GG7" s="238"/>
      <c r="GK7" s="223" t="s">
        <v>35</v>
      </c>
      <c r="GL7" s="223">
        <f>IF(OR(GM7=1,GN7=1,GO7=1,GP7=1,GQ7=1,GR7=1),1,0)</f>
        <v>0</v>
      </c>
      <c r="GM7" s="223">
        <f>IF($GK7=Creation!$Q$28,1,0)</f>
        <v>0</v>
      </c>
      <c r="GN7" s="223">
        <f>IF($GK7=Creation!$Q$29,1,0)</f>
        <v>0</v>
      </c>
      <c r="GO7" s="223">
        <f>IF($GK7=Creation!$Q$30,1,0)</f>
        <v>0</v>
      </c>
      <c r="GP7" s="223">
        <f>IF($GK7=Creation!$Q$31,1,0)</f>
        <v>0</v>
      </c>
      <c r="GQ7" s="223">
        <f>IF($GK7=Creation!$Q$32,1,0)</f>
        <v>0</v>
      </c>
      <c r="GR7" s="223">
        <f>IF($GK7=Creation!$Q$33,1,0)</f>
        <v>0</v>
      </c>
    </row>
    <row r="8" spans="1:200" x14ac:dyDescent="0.25">
      <c r="A8" s="677" t="s">
        <v>14</v>
      </c>
      <c r="B8" s="356"/>
      <c r="C8" s="356"/>
      <c r="D8" s="356"/>
      <c r="E8" s="146">
        <v>1</v>
      </c>
      <c r="F8" s="146">
        <f>IF(Creation!$E$21+Creation!$I$21&gt;E$5,1,0)</f>
        <v>0</v>
      </c>
      <c r="G8" s="146">
        <f>IF(Creation!$E$21+Creation!$I$21&gt;F$5,1,0)</f>
        <v>0</v>
      </c>
      <c r="H8" s="146">
        <f>IF(Creation!$E$21+Creation!$I$21&gt;G$5,1,0)</f>
        <v>0</v>
      </c>
      <c r="I8" s="146">
        <f>IF(Creation!$E$21+Creation!$I$21&gt;H$5,1,0)</f>
        <v>0</v>
      </c>
      <c r="J8" s="146">
        <f>IF(Creation!$E$21+Creation!$I$21&gt;I$5,1,0)</f>
        <v>0</v>
      </c>
      <c r="K8" s="146">
        <f>IF(Creation!$E$21+Creation!$I$21&gt;J$5,1,0)</f>
        <v>0</v>
      </c>
      <c r="L8" s="146">
        <f>IF(Creation!$E$21+Creation!$I$21&gt;K$5,1,0)</f>
        <v>0</v>
      </c>
      <c r="M8" s="146">
        <f>IF(Creation!$E$21+Creation!$I$21&gt;L$5,1,0)</f>
        <v>0</v>
      </c>
      <c r="N8" s="146">
        <f>IF(Creation!$E$21+Creation!$I$21&gt;M$5,1,0)</f>
        <v>0</v>
      </c>
      <c r="O8" s="149">
        <f>IF(Creation!$E$21+Creation!$I$21&gt;N$5,1,0)</f>
        <v>0</v>
      </c>
      <c r="P8" s="392" t="s">
        <v>69</v>
      </c>
      <c r="Q8" s="391"/>
      <c r="R8" s="391"/>
      <c r="S8" s="391"/>
      <c r="T8" s="6">
        <v>1</v>
      </c>
      <c r="U8" s="6">
        <v>2</v>
      </c>
      <c r="V8" s="6">
        <v>3</v>
      </c>
      <c r="W8" s="6">
        <v>4</v>
      </c>
      <c r="X8" s="47">
        <v>5</v>
      </c>
      <c r="Y8" s="677" t="s">
        <v>14</v>
      </c>
      <c r="Z8" s="356"/>
      <c r="AA8" s="356"/>
      <c r="AB8" s="401"/>
      <c r="AC8" s="221"/>
      <c r="AD8" s="240"/>
      <c r="AE8" s="240"/>
      <c r="AF8" s="240"/>
      <c r="AG8" s="240"/>
      <c r="AH8" s="240"/>
      <c r="AI8" s="240"/>
      <c r="AJ8" s="240"/>
      <c r="AK8" s="240"/>
      <c r="AL8" s="240"/>
      <c r="AM8" s="241"/>
      <c r="AN8" s="392" t="s">
        <v>69</v>
      </c>
      <c r="AO8" s="391"/>
      <c r="AP8" s="391"/>
      <c r="AQ8" s="409"/>
      <c r="AR8" s="206">
        <v>1</v>
      </c>
      <c r="AS8" s="207">
        <v>2</v>
      </c>
      <c r="AT8" s="207">
        <v>3</v>
      </c>
      <c r="AU8" s="207">
        <v>4</v>
      </c>
      <c r="AV8" s="200">
        <v>5</v>
      </c>
      <c r="AW8" s="690" t="s">
        <v>14</v>
      </c>
      <c r="AX8" s="356"/>
      <c r="AY8" s="356"/>
      <c r="AZ8" s="401"/>
      <c r="BA8" s="131"/>
      <c r="BB8" s="240"/>
      <c r="BC8" s="240"/>
      <c r="BD8" s="240"/>
      <c r="BE8" s="240"/>
      <c r="BF8" s="240"/>
      <c r="BG8" s="240"/>
      <c r="BH8" s="240"/>
      <c r="BI8" s="240"/>
      <c r="BJ8" s="240"/>
      <c r="BK8" s="241"/>
      <c r="BL8" s="392" t="s">
        <v>69</v>
      </c>
      <c r="BM8" s="391"/>
      <c r="BN8" s="391"/>
      <c r="BO8" s="409"/>
      <c r="BP8" s="123">
        <v>1</v>
      </c>
      <c r="BQ8" s="156">
        <v>2</v>
      </c>
      <c r="BR8" s="156">
        <v>3</v>
      </c>
      <c r="BS8" s="156">
        <v>4</v>
      </c>
      <c r="BT8" s="148">
        <v>5</v>
      </c>
      <c r="BU8" s="690" t="s">
        <v>14</v>
      </c>
      <c r="BV8" s="356"/>
      <c r="BW8" s="356"/>
      <c r="BX8" s="356"/>
      <c r="BY8" s="146">
        <v>0</v>
      </c>
      <c r="BZ8" s="146">
        <f>IF(SUM($BY8:BY8)=SUM(DemigodConversion!$G21:$L21),0,IF(AND(F8=0,AD8=0,BB8=0,DemigodConversion!$E21+DemigodConversion!$G21+DemigodConversion!$I21&gt;BY$5),1,0))</f>
        <v>0</v>
      </c>
      <c r="CA8" s="146">
        <f>IF(SUM($BY8:BZ8)=SUM(DemigodConversion!$G21:$L21),0,IF(AND(G8=0,AE8=0,BC8=0,DemigodConversion!$E21+DemigodConversion!$G21+DemigodConversion!$I21&gt;BZ$5),1,0))</f>
        <v>0</v>
      </c>
      <c r="CB8" s="146">
        <f>IF(SUM($BY8:CA8)=SUM(DemigodConversion!$G21:$L21),0,IF(AND(H8=0,AF8=0,BD8=0,DemigodConversion!$E21+DemigodConversion!$G21+DemigodConversion!$I21&gt;CA$5),1,0))</f>
        <v>0</v>
      </c>
      <c r="CC8" s="146">
        <f>IF(SUM($BY8:CB8)=SUM(DemigodConversion!$G21:$L21),0,IF(AND(I8=0,AG8=0,BE8=0,DemigodConversion!$E21+DemigodConversion!$G21+DemigodConversion!$I21&gt;CB$5),1,0))</f>
        <v>0</v>
      </c>
      <c r="CD8" s="146">
        <f>IF(SUM($BY8:CC8)=SUM(DemigodConversion!$G21:$L21),0,IF(AND(J8=0,AH8=0,BF8=0,DemigodConversion!$E21+DemigodConversion!$G21+DemigodConversion!$I21&gt;CC$5),1,0))</f>
        <v>0</v>
      </c>
      <c r="CE8" s="146">
        <f>IF(SUM($BY8:CD8)=SUM(DemigodConversion!$G21:$L21),0,IF(AND(K8=0,AI8=0,BG8=0,DemigodConversion!$E21+DemigodConversion!$G21+DemigodConversion!$I21&gt;CD$5),1,0))</f>
        <v>0</v>
      </c>
      <c r="CF8" s="146">
        <f>IF(SUM($BY8:CE8)=SUM(DemigodConversion!$G21:$L21),0,IF(AND(L8=0,AJ8=0,BH8=0,DemigodConversion!$E21+DemigodConversion!$G21+DemigodConversion!$I21&gt;CE$5),1,0))</f>
        <v>0</v>
      </c>
      <c r="CG8" s="146">
        <f>IF(SUM($BY8:CF8)=SUM(DemigodConversion!$G21:$L21),0,IF(AND(M8=0,AK8=0,BI8=0,DemigodConversion!$E21+DemigodConversion!$G21+DemigodConversion!$I21&gt;CF$5),1,0))</f>
        <v>0</v>
      </c>
      <c r="CH8" s="146">
        <f>IF(SUM($BY8:CG8)=SUM(DemigodConversion!$G21:$L21),0,IF(AND(N8=0,AL8=0,BJ8=0,DemigodConversion!$E21+DemigodConversion!$G21+DemigodConversion!$I21&gt;CG$5),1,0))</f>
        <v>0</v>
      </c>
      <c r="CI8" s="147">
        <f>IF(SUM($BY8:CH8)=SUM(DemigodConversion!$G21:$L21),0,IF(AND(O8=0,AM8=0,BK8=0,DemigodConversion!$E21+DemigodConversion!$G21+DemigodConversion!$I21&gt;CH$5),1,0))</f>
        <v>0</v>
      </c>
      <c r="CJ8" s="392" t="s">
        <v>69</v>
      </c>
      <c r="CK8" s="391"/>
      <c r="CL8" s="391"/>
      <c r="CM8" s="391"/>
      <c r="CN8" s="6">
        <v>1</v>
      </c>
      <c r="CO8" s="6">
        <v>2</v>
      </c>
      <c r="CP8" s="6">
        <v>3</v>
      </c>
      <c r="CQ8" s="6">
        <v>4</v>
      </c>
      <c r="CR8" s="158">
        <v>5</v>
      </c>
      <c r="CS8" s="690" t="s">
        <v>14</v>
      </c>
      <c r="CT8" s="356"/>
      <c r="CU8" s="356"/>
      <c r="CV8" s="356"/>
      <c r="CW8" s="146">
        <v>0</v>
      </c>
      <c r="CX8" s="146">
        <f>IF(AND(F8=0,AD8=0,BB8=0,BZ8=0,CW$5&lt;SUM(GodConversion!$E21:$L21)),1,0)</f>
        <v>0</v>
      </c>
      <c r="CY8" s="146">
        <f>IF(AND(G8=0,AE8=0,BC8=0,CA8=0,CX$5&lt;SUM(GodConversion!$E21:$L21)),1,0)</f>
        <v>0</v>
      </c>
      <c r="CZ8" s="146">
        <f>IF(AND(H8=0,AF8=0,BD8=0,CB8=0,CY$5&lt;SUM(GodConversion!$E21:$L21)),1,0)</f>
        <v>0</v>
      </c>
      <c r="DA8" s="146">
        <f>IF(AND(I8=0,AG8=0,BE8=0,CC8=0,CZ$5&lt;SUM(GodConversion!$E21:$L21)),1,0)</f>
        <v>0</v>
      </c>
      <c r="DB8" s="146">
        <f>IF(AND(J8=0,AH8=0,BF8=0,CD8=0,DA$5&lt;SUM(GodConversion!$E21:$L21)),1,0)</f>
        <v>0</v>
      </c>
      <c r="DC8" s="146">
        <f>IF(AND(K8=0,AI8=0,BG8=0,CE8=0,DB$5&lt;SUM(GodConversion!$E21:$L21)),1,0)</f>
        <v>0</v>
      </c>
      <c r="DD8" s="146">
        <f>IF(AND(L8=0,AJ8=0,BH8=0,CF8=0,DC$5&lt;SUM(GodConversion!$E21:$L21)),1,0)</f>
        <v>0</v>
      </c>
      <c r="DE8" s="146">
        <f>IF(AND(M8=0,AK8=0,BI8=0,CG8=0,DD$5&lt;SUM(GodConversion!$E21:$L21)),1,0)</f>
        <v>0</v>
      </c>
      <c r="DF8" s="146">
        <f>IF(AND(N8=0,AL8=0,BJ8=0,CH8=0,DE$5&lt;SUM(GodConversion!$E21:$L21)),1,0)</f>
        <v>0</v>
      </c>
      <c r="DG8" s="146">
        <f>IF(AND(O8=0,AM8=0,BK8=0,CI8=0,DF$5&lt;SUM(GodConversion!$E21:$L21)),1,0)</f>
        <v>0</v>
      </c>
      <c r="DH8" s="392" t="s">
        <v>69</v>
      </c>
      <c r="DI8" s="391"/>
      <c r="DJ8" s="391"/>
      <c r="DK8" s="391"/>
      <c r="DL8" s="6">
        <v>1</v>
      </c>
      <c r="DM8" s="6">
        <v>2</v>
      </c>
      <c r="DN8" s="6">
        <v>3</v>
      </c>
      <c r="DO8" s="6">
        <v>4</v>
      </c>
      <c r="DP8" s="158">
        <v>5</v>
      </c>
      <c r="DQ8" s="677" t="s">
        <v>14</v>
      </c>
      <c r="DR8" s="356"/>
      <c r="DS8" s="356"/>
      <c r="DT8" s="356"/>
      <c r="DU8" s="146">
        <v>0</v>
      </c>
      <c r="DV8" s="146">
        <f t="shared" ref="DV8:EE8" si="7">IF(AD8=1,DU$5*4,0)</f>
        <v>0</v>
      </c>
      <c r="DW8" s="146">
        <f t="shared" si="7"/>
        <v>0</v>
      </c>
      <c r="DX8" s="146">
        <f t="shared" si="7"/>
        <v>0</v>
      </c>
      <c r="DY8" s="146">
        <f t="shared" si="7"/>
        <v>0</v>
      </c>
      <c r="DZ8" s="146">
        <f t="shared" si="7"/>
        <v>0</v>
      </c>
      <c r="EA8" s="146">
        <f t="shared" si="7"/>
        <v>0</v>
      </c>
      <c r="EB8" s="146">
        <f t="shared" si="7"/>
        <v>0</v>
      </c>
      <c r="EC8" s="146">
        <f t="shared" si="7"/>
        <v>0</v>
      </c>
      <c r="ED8" s="146">
        <f t="shared" si="7"/>
        <v>0</v>
      </c>
      <c r="EE8" s="149">
        <f t="shared" si="7"/>
        <v>0</v>
      </c>
      <c r="EF8" s="392" t="s">
        <v>69</v>
      </c>
      <c r="EG8" s="391"/>
      <c r="EH8" s="391"/>
      <c r="EI8" s="391"/>
      <c r="EJ8" s="6">
        <v>1</v>
      </c>
      <c r="EK8" s="6">
        <v>2</v>
      </c>
      <c r="EL8" s="6">
        <v>3</v>
      </c>
      <c r="EM8" s="6">
        <v>4</v>
      </c>
      <c r="EN8" s="47">
        <v>5</v>
      </c>
      <c r="EO8" s="702" t="s">
        <v>36</v>
      </c>
      <c r="EP8" s="703"/>
      <c r="EQ8" s="703"/>
      <c r="ER8" s="704"/>
      <c r="ES8" s="248"/>
      <c r="ET8" s="249"/>
      <c r="EU8" s="240"/>
      <c r="EV8" s="240"/>
      <c r="EW8" s="240"/>
      <c r="EX8" s="711" t="s">
        <v>36</v>
      </c>
      <c r="EY8" s="712"/>
      <c r="EZ8" s="712"/>
      <c r="FA8" s="714"/>
      <c r="FB8" s="236"/>
      <c r="FC8" s="237"/>
      <c r="FD8" s="237"/>
      <c r="FE8" s="237"/>
      <c r="FF8" s="238"/>
      <c r="FG8" s="721" t="s">
        <v>36</v>
      </c>
      <c r="FH8" s="712"/>
      <c r="FI8" s="712"/>
      <c r="FJ8" s="713"/>
      <c r="FK8" s="236"/>
      <c r="FL8" s="237"/>
      <c r="FM8" s="237"/>
      <c r="FN8" s="237"/>
      <c r="FO8" s="238"/>
      <c r="FP8" s="711" t="s">
        <v>36</v>
      </c>
      <c r="FQ8" s="712"/>
      <c r="FR8" s="712"/>
      <c r="FS8" s="713"/>
      <c r="FT8" s="236"/>
      <c r="FU8" s="237"/>
      <c r="FV8" s="237"/>
      <c r="FW8" s="237"/>
      <c r="FX8" s="238"/>
      <c r="FY8" s="711" t="s">
        <v>36</v>
      </c>
      <c r="FZ8" s="712"/>
      <c r="GA8" s="712"/>
      <c r="GB8" s="713"/>
      <c r="GC8" s="236"/>
      <c r="GD8" s="237"/>
      <c r="GE8" s="237"/>
      <c r="GF8" s="237"/>
      <c r="GG8" s="238"/>
      <c r="GK8" s="223" t="s">
        <v>36</v>
      </c>
      <c r="GL8" s="223">
        <f t="shared" ref="GL8:GL30" si="8">IF(OR(GM8=1,GN8=1,GO8=1,GP8=1,GQ8=1,GR8=1),1,0)</f>
        <v>0</v>
      </c>
      <c r="GM8" s="223">
        <f>IF($GK8=Creation!$Q$28,1,0)</f>
        <v>0</v>
      </c>
      <c r="GN8" s="223">
        <f>IF($GK8=Creation!$Q$29,1,0)</f>
        <v>0</v>
      </c>
      <c r="GO8" s="223">
        <f>IF($GK8=Creation!$Q$30,1,0)</f>
        <v>0</v>
      </c>
      <c r="GP8" s="223">
        <f>IF($GK8=Creation!$Q$31,1,0)</f>
        <v>0</v>
      </c>
      <c r="GQ8" s="223">
        <f>IF($GK8=Creation!$Q$32,1,0)</f>
        <v>0</v>
      </c>
      <c r="GR8" s="223">
        <f>IF($GK8=Creation!$Q$33,1,0)</f>
        <v>0</v>
      </c>
    </row>
    <row r="9" spans="1:200" x14ac:dyDescent="0.25">
      <c r="A9" s="677" t="s">
        <v>16</v>
      </c>
      <c r="B9" s="356"/>
      <c r="C9" s="356"/>
      <c r="D9" s="356"/>
      <c r="E9" s="146">
        <v>1</v>
      </c>
      <c r="F9" s="146">
        <f>IF(Creation!$E$25+Creation!$I$25&gt;E$5,1,0)</f>
        <v>0</v>
      </c>
      <c r="G9" s="146">
        <f>IF(Creation!$E$25+Creation!$I$25&gt;F$5,1,0)</f>
        <v>0</v>
      </c>
      <c r="H9" s="146">
        <f>IF(Creation!$E$25+Creation!$I$25&gt;G$5,1,0)</f>
        <v>0</v>
      </c>
      <c r="I9" s="146">
        <f>IF(Creation!$E$25+Creation!$I$25&gt;H$5,1,0)</f>
        <v>0</v>
      </c>
      <c r="J9" s="146">
        <f>IF(Creation!$E$25+Creation!$I$25&gt;I$5,1,0)</f>
        <v>0</v>
      </c>
      <c r="K9" s="146">
        <f>IF(Creation!$E$25+Creation!$I$25&gt;J$5,1,0)</f>
        <v>0</v>
      </c>
      <c r="L9" s="146">
        <f>IF(Creation!$E$25+Creation!$I$25&gt;K$5,1,0)</f>
        <v>0</v>
      </c>
      <c r="M9" s="146">
        <f>IF(Creation!$E$25+Creation!$I$25&gt;L$5,1,0)</f>
        <v>0</v>
      </c>
      <c r="N9" s="146">
        <f>IF(Creation!$E$25+Creation!$I$25&gt;M$5,1,0)</f>
        <v>0</v>
      </c>
      <c r="O9" s="149">
        <f>IF(Creation!$E$25+Creation!$I$25&gt;N$5,1,0)</f>
        <v>0</v>
      </c>
      <c r="P9" s="677" t="s">
        <v>35</v>
      </c>
      <c r="Q9" s="356"/>
      <c r="R9" s="356"/>
      <c r="S9" s="356"/>
      <c r="T9" s="146">
        <f>IF(Creation!AC4+Creation!AF4&gt;0,1,0)</f>
        <v>0</v>
      </c>
      <c r="U9" s="146">
        <f>IF(Creation!AC4+Creation!AF4&gt;1,1,0)</f>
        <v>0</v>
      </c>
      <c r="V9" s="146">
        <f>IF(Creation!AC4+Creation!AF4&gt;2,1,0)</f>
        <v>0</v>
      </c>
      <c r="W9" s="146">
        <f>IF(Creation!AC4+Creation!AF4&gt;3,1,0)</f>
        <v>0</v>
      </c>
      <c r="X9" s="147">
        <f>IF(Creation!AC4+Creation!AF4&gt;4,1,0)</f>
        <v>0</v>
      </c>
      <c r="Y9" s="677" t="s">
        <v>16</v>
      </c>
      <c r="Z9" s="356"/>
      <c r="AA9" s="356"/>
      <c r="AB9" s="401"/>
      <c r="AC9" s="221"/>
      <c r="AD9" s="240"/>
      <c r="AE9" s="240"/>
      <c r="AF9" s="240"/>
      <c r="AG9" s="240"/>
      <c r="AH9" s="240"/>
      <c r="AI9" s="240"/>
      <c r="AJ9" s="240"/>
      <c r="AK9" s="240"/>
      <c r="AL9" s="240"/>
      <c r="AM9" s="241"/>
      <c r="AN9" s="677" t="s">
        <v>35</v>
      </c>
      <c r="AO9" s="356"/>
      <c r="AP9" s="356"/>
      <c r="AQ9" s="401"/>
      <c r="AR9" s="239"/>
      <c r="AS9" s="240"/>
      <c r="AT9" s="240"/>
      <c r="AU9" s="240"/>
      <c r="AV9" s="241"/>
      <c r="AW9" s="690" t="s">
        <v>16</v>
      </c>
      <c r="AX9" s="356"/>
      <c r="AY9" s="356"/>
      <c r="AZ9" s="401"/>
      <c r="BA9" s="131"/>
      <c r="BB9" s="240"/>
      <c r="BC9" s="240"/>
      <c r="BD9" s="240"/>
      <c r="BE9" s="240"/>
      <c r="BF9" s="240"/>
      <c r="BG9" s="240"/>
      <c r="BH9" s="240"/>
      <c r="BI9" s="240"/>
      <c r="BJ9" s="240"/>
      <c r="BK9" s="241"/>
      <c r="BL9" s="677" t="s">
        <v>35</v>
      </c>
      <c r="BM9" s="356"/>
      <c r="BN9" s="356"/>
      <c r="BO9" s="401"/>
      <c r="BP9" s="250"/>
      <c r="BQ9" s="240"/>
      <c r="BR9" s="240"/>
      <c r="BS9" s="240"/>
      <c r="BT9" s="241"/>
      <c r="BU9" s="690" t="s">
        <v>16</v>
      </c>
      <c r="BV9" s="356"/>
      <c r="BW9" s="356"/>
      <c r="BX9" s="356"/>
      <c r="BY9" s="146">
        <v>0</v>
      </c>
      <c r="BZ9" s="146">
        <f>IF(SUM($BY9:BY9)=SUM(DemigodConversion!$G25:$L25),0,IF(AND(F9=0,AD9=0,BB9=0,DemigodConversion!$E25+DemigodConversion!$G25+DemigodConversion!$I25&gt;BY$5),1,0))</f>
        <v>0</v>
      </c>
      <c r="CA9" s="146">
        <f>IF(SUM($BY9:BZ9)=SUM(DemigodConversion!$G25:$L25),0,IF(AND(G9=0,AE9=0,BC9=0,DemigodConversion!$E25+DemigodConversion!$G25+DemigodConversion!$I25&gt;BZ$5),1,0))</f>
        <v>0</v>
      </c>
      <c r="CB9" s="146">
        <f>IF(SUM($BY9:CA9)=SUM(DemigodConversion!$G25:$L25),0,IF(AND(H9=0,AF9=0,BD9=0,DemigodConversion!$E25+DemigodConversion!$G25+DemigodConversion!$I25&gt;CA$5),1,0))</f>
        <v>0</v>
      </c>
      <c r="CC9" s="146">
        <f>IF(SUM($BY9:CB9)=SUM(DemigodConversion!$G25:$L25),0,IF(AND(I9=0,AG9=0,BE9=0,DemigodConversion!$E25+DemigodConversion!$G25+DemigodConversion!$I25&gt;CB$5),1,0))</f>
        <v>0</v>
      </c>
      <c r="CD9" s="146">
        <f>IF(SUM($BY9:CC9)=SUM(DemigodConversion!$G25:$L25),0,IF(AND(J9=0,AH9=0,BF9=0,DemigodConversion!$E25+DemigodConversion!$G25+DemigodConversion!$I25&gt;CC$5),1,0))</f>
        <v>0</v>
      </c>
      <c r="CE9" s="146">
        <f>IF(SUM($BY9:CD9)=SUM(DemigodConversion!$G25:$L25),0,IF(AND(K9=0,AI9=0,BG9=0,DemigodConversion!$E25+DemigodConversion!$G25+DemigodConversion!$I25&gt;CD$5),1,0))</f>
        <v>0</v>
      </c>
      <c r="CF9" s="146">
        <f>IF(SUM($BY9:CE9)=SUM(DemigodConversion!$G25:$L25),0,IF(AND(L9=0,AJ9=0,BH9=0,DemigodConversion!$E25+DemigodConversion!$G25+DemigodConversion!$I25&gt;CE$5),1,0))</f>
        <v>0</v>
      </c>
      <c r="CG9" s="146">
        <f>IF(SUM($BY9:CF9)=SUM(DemigodConversion!$G25:$L25),0,IF(AND(M9=0,AK9=0,BI9=0,DemigodConversion!$E25+DemigodConversion!$G25+DemigodConversion!$I25&gt;CF$5),1,0))</f>
        <v>0</v>
      </c>
      <c r="CH9" s="146">
        <f>IF(SUM($BY9:CG9)=SUM(DemigodConversion!$G25:$L25),0,IF(AND(N9=0,AL9=0,BJ9=0,DemigodConversion!$E25+DemigodConversion!$G25+DemigodConversion!$I25&gt;CG$5),1,0))</f>
        <v>0</v>
      </c>
      <c r="CI9" s="147">
        <f>IF(SUM($BY9:CH9)=SUM(DemigodConversion!$G25:$L25),0,IF(AND(O9=0,AM9=0,BK9=0,DemigodConversion!$E25+DemigodConversion!$G25+DemigodConversion!$I25&gt;CH$5),1,0))</f>
        <v>0</v>
      </c>
      <c r="CJ9" s="677" t="s">
        <v>35</v>
      </c>
      <c r="CK9" s="356"/>
      <c r="CL9" s="356"/>
      <c r="CM9" s="356"/>
      <c r="CN9" s="146">
        <f>IF(AND(T9=0,AR9=0,BP9=0,FB7=0,FK7=0,FT7=0,GC7=0,ES7=0,DemigodConversion!$AC4+DemigodConversion!$AF4&gt;0),1,0)</f>
        <v>0</v>
      </c>
      <c r="CO9" s="229">
        <f>IF(AND(U9=0,AS9=0,BQ9=0,FC7=0,FL7=0,FU7=0,GD7=0,ET7=0,DemigodConversion!$AC4+DemigodConversion!$AF4&gt;1),1,0)</f>
        <v>0</v>
      </c>
      <c r="CP9" s="229">
        <f>IF(AND(V9=0,AT9=0,BR9=0,FD7=0,FM7=0,FV7=0,GE7=0,EU7=0,DemigodConversion!$AC4+DemigodConversion!$AF4&gt;2),1,0)</f>
        <v>0</v>
      </c>
      <c r="CQ9" s="229">
        <f>IF(AND(W9=0,AU9=0,BS9=0,FE7=0,FN7=0,FW7=0,GF7=0,EV7=0,DemigodConversion!$AC4+DemigodConversion!$AF4&gt;3),1,0)</f>
        <v>0</v>
      </c>
      <c r="CR9" s="229">
        <f>IF(AND(X9=0,AV9=0,BT9=0,FF7=0,FO7=0,FX7=0,GG7=0,EW7=0,DemigodConversion!$AC4+DemigodConversion!$AF4&gt;4),1,0)</f>
        <v>0</v>
      </c>
      <c r="CS9" s="690" t="s">
        <v>16</v>
      </c>
      <c r="CT9" s="356"/>
      <c r="CU9" s="356"/>
      <c r="CV9" s="356"/>
      <c r="CW9" s="146">
        <v>0</v>
      </c>
      <c r="CX9" s="146">
        <f>IF(AND(F9=0,AD9=0,BB9=0,BZ9=0,CW$5&lt;SUM(GodConversion!$E25:$L25)),1,0)</f>
        <v>0</v>
      </c>
      <c r="CY9" s="146">
        <f>IF(AND(G9=0,AE9=0,BC9=0,CA9=0,CX$5&lt;SUM(GodConversion!$E25:$L25)),1,0)</f>
        <v>0</v>
      </c>
      <c r="CZ9" s="146">
        <f>IF(AND(H9=0,AF9=0,BD9=0,CB9=0,CY$5&lt;SUM(GodConversion!$E25:$L25)),1,0)</f>
        <v>0</v>
      </c>
      <c r="DA9" s="146">
        <f>IF(AND(I9=0,AG9=0,BE9=0,CC9=0,CZ$5&lt;SUM(GodConversion!$E25:$L25)),1,0)</f>
        <v>0</v>
      </c>
      <c r="DB9" s="146">
        <f>IF(AND(J9=0,AH9=0,BF9=0,CD9=0,DA$5&lt;SUM(GodConversion!$E25:$L25)),1,0)</f>
        <v>0</v>
      </c>
      <c r="DC9" s="146">
        <f>IF(AND(K9=0,AI9=0,BG9=0,CE9=0,DB$5&lt;SUM(GodConversion!$E25:$L25)),1,0)</f>
        <v>0</v>
      </c>
      <c r="DD9" s="146">
        <f>IF(AND(L9=0,AJ9=0,BH9=0,CF9=0,DC$5&lt;SUM(GodConversion!$E25:$L25)),1,0)</f>
        <v>0</v>
      </c>
      <c r="DE9" s="146">
        <f>IF(AND(M9=0,AK9=0,BI9=0,CG9=0,DD$5&lt;SUM(GodConversion!$E25:$L25)),1,0)</f>
        <v>0</v>
      </c>
      <c r="DF9" s="146">
        <f>IF(AND(N9=0,AL9=0,BJ9=0,CH9=0,DE$5&lt;SUM(GodConversion!$E25:$L25)),1,0)</f>
        <v>0</v>
      </c>
      <c r="DG9" s="146">
        <f>IF(AND(O9=0,AM9=0,BK9=0,CI9=0,DF$5&lt;SUM(GodConversion!$E25:$L25)),1,0)</f>
        <v>0</v>
      </c>
      <c r="DH9" s="677" t="s">
        <v>35</v>
      </c>
      <c r="DI9" s="356"/>
      <c r="DJ9" s="356"/>
      <c r="DK9" s="356"/>
      <c r="DL9" s="146">
        <f>IF(AND(T9=0,AR9=0,BP9=0,ES7=0,FB7=0,FK7=0,FT7=0,GC7=0,CN9=0,0&lt;GodConversion!$AC4+GodConversion!$AF4),1,0)</f>
        <v>0</v>
      </c>
      <c r="DM9" s="229">
        <f>IF(AND(U9=0,AS9=0,BQ9=0,ET7=0,FC7=0,FL7=0,FU7=0,GD7=0,CO9=0,1&lt;GodConversion!$AC4+GodConversion!$AF4),1,0)</f>
        <v>0</v>
      </c>
      <c r="DN9" s="229">
        <f>IF(AND(V9=0,AT9=0,BR9=0,EU7=0,FD7=0,FM7=0,FV7=0,GE7=0,CP9=0,2&lt;GodConversion!$AC4+GodConversion!$AF4),1,0)</f>
        <v>0</v>
      </c>
      <c r="DO9" s="229">
        <f>IF(AND(W9=0,AU9=0,BS9=0,EV7=0,FE7=0,FN7=0,FW7=0,GF7=0,CQ9=0,3&lt;GodConversion!$AC4+GodConversion!$AF4),1,0)</f>
        <v>0</v>
      </c>
      <c r="DP9" s="229">
        <f>IF(AND(X9=0,AV9=0,BT9=0,EW7=0,FF7=0,FO7=0,FX7=0,GG7=0,CR9=0,4&lt;GodConversion!$AC4+GodConversion!$AF4),1,0)</f>
        <v>0</v>
      </c>
      <c r="DQ9" s="677" t="s">
        <v>16</v>
      </c>
      <c r="DR9" s="356"/>
      <c r="DS9" s="356"/>
      <c r="DT9" s="356"/>
      <c r="DU9" s="146">
        <v>0</v>
      </c>
      <c r="DV9" s="146">
        <f t="shared" ref="DV9:EE9" si="9">IF(AD9=1,DU$5*4,0)</f>
        <v>0</v>
      </c>
      <c r="DW9" s="146">
        <f t="shared" si="9"/>
        <v>0</v>
      </c>
      <c r="DX9" s="146">
        <f t="shared" si="9"/>
        <v>0</v>
      </c>
      <c r="DY9" s="146">
        <f t="shared" si="9"/>
        <v>0</v>
      </c>
      <c r="DZ9" s="146">
        <f t="shared" si="9"/>
        <v>0</v>
      </c>
      <c r="EA9" s="146">
        <f t="shared" si="9"/>
        <v>0</v>
      </c>
      <c r="EB9" s="146">
        <f t="shared" si="9"/>
        <v>0</v>
      </c>
      <c r="EC9" s="146">
        <f t="shared" si="9"/>
        <v>0</v>
      </c>
      <c r="ED9" s="146">
        <f t="shared" si="9"/>
        <v>0</v>
      </c>
      <c r="EE9" s="149">
        <f t="shared" si="9"/>
        <v>0</v>
      </c>
      <c r="EF9" s="677" t="s">
        <v>35</v>
      </c>
      <c r="EG9" s="356"/>
      <c r="EH9" s="356"/>
      <c r="EI9" s="356"/>
      <c r="EJ9" s="146">
        <f>IF(AR9=1,3,IF(ES7=1,1,IF(FB7=1,1,IF(FK7=1,1,IF(FT7=1,1,IF(GC7=1,1,0))))))</f>
        <v>0</v>
      </c>
      <c r="EK9" s="146">
        <f>IF(AS9=1,IF(LOOKUP($EF9,$GK$7:$GK$30,$GL$7:$GL$30)=1,1,2),IF(OR(ET7=1,FC7=1,FL7=1),IF(LOOKUP($EF9,$GK$7:$GK$30,$GL$7:$GL$30)=1,1,1),IF(OR(FU7=1,GD7=1),IF(LOOKUP($EF9,$GK$7:$GK$30,$GL$7:$GL$30)=1,1,1),0)))</f>
        <v>0</v>
      </c>
      <c r="EL9" s="210">
        <f>IF(AT9=1,IF(LOOKUP($EF9,$GK$7:$GK$30,$GL$7:$GL$30)=1,3,4),IF(OR(EU7=1,FD7=1,FM7=1),IF(LOOKUP($EF9,$GK$7:$GK$30,$GL$7:$GL$30)=1,1,2),IF(OR(FV7=1,GE7=1),IF(LOOKUP($EF9,$GK$7:$GK$30,$GL$7:$GL$30)=1,1,1),0)))</f>
        <v>0</v>
      </c>
      <c r="EM9" s="210">
        <f>IF(AU9=1,IF(LOOKUP($EF9,$GK$7:$GK$30,$GL$7:$GL$30)=1,5,6),IF(OR(EV7=1,FE7=1,FN7=1),IF(LOOKUP($EF9,$GK$7:$GK$30,$GL$7:$GL$30)=1,2,3),IF(OR(FW7=1,GF7=1),IF(LOOKUP($EF9,$GK$7:$GK$30,$GL$7:$GL$30)=1,1,1),0)))</f>
        <v>0</v>
      </c>
      <c r="EN9" s="210">
        <f>IF(AV9=1,IF(LOOKUP($EF9,$GK$7:$GK$30,$GL$7:$GL$30)=1,7,8),IF(OR(EW7=1,FF7=1,FO7=1),IF(LOOKUP($EF9,$GK$7:$GK$30,$GL$7:$GL$30)=1,3,4),IF(OR(FX7=1,GG7=1),IF(LOOKUP($EF9,$GK$7:$GK$30,$GL$7:$GL$30)=1,1,2),0)))</f>
        <v>0</v>
      </c>
      <c r="EO9" s="702" t="s">
        <v>37</v>
      </c>
      <c r="EP9" s="703"/>
      <c r="EQ9" s="703"/>
      <c r="ER9" s="704"/>
      <c r="ES9" s="248"/>
      <c r="ET9" s="249"/>
      <c r="EU9" s="240"/>
      <c r="EV9" s="240"/>
      <c r="EW9" s="240"/>
      <c r="EX9" s="711" t="s">
        <v>37</v>
      </c>
      <c r="EY9" s="712"/>
      <c r="EZ9" s="712"/>
      <c r="FA9" s="714"/>
      <c r="FB9" s="236"/>
      <c r="FC9" s="237"/>
      <c r="FD9" s="237"/>
      <c r="FE9" s="237"/>
      <c r="FF9" s="238"/>
      <c r="FG9" s="690" t="s">
        <v>37</v>
      </c>
      <c r="FH9" s="356"/>
      <c r="FI9" s="356"/>
      <c r="FJ9" s="401"/>
      <c r="FK9" s="239"/>
      <c r="FL9" s="240"/>
      <c r="FM9" s="240"/>
      <c r="FN9" s="240"/>
      <c r="FO9" s="241"/>
      <c r="FP9" s="711" t="s">
        <v>37</v>
      </c>
      <c r="FQ9" s="712"/>
      <c r="FR9" s="712"/>
      <c r="FS9" s="713"/>
      <c r="FT9" s="236"/>
      <c r="FU9" s="237"/>
      <c r="FV9" s="237"/>
      <c r="FW9" s="237"/>
      <c r="FX9" s="238"/>
      <c r="FY9" s="677" t="s">
        <v>37</v>
      </c>
      <c r="FZ9" s="356"/>
      <c r="GA9" s="356"/>
      <c r="GB9" s="401"/>
      <c r="GC9" s="239"/>
      <c r="GD9" s="240"/>
      <c r="GE9" s="240"/>
      <c r="GF9" s="240"/>
      <c r="GG9" s="241"/>
      <c r="GK9" s="223" t="s">
        <v>37</v>
      </c>
      <c r="GL9" s="223">
        <f t="shared" si="8"/>
        <v>0</v>
      </c>
      <c r="GM9" s="223">
        <f>IF($GK9=Creation!$Q$28,1,0)</f>
        <v>0</v>
      </c>
      <c r="GN9" s="223">
        <f>IF($GK9=Creation!$Q$29,1,0)</f>
        <v>0</v>
      </c>
      <c r="GO9" s="223">
        <f>IF($GK9=Creation!$Q$30,1,0)</f>
        <v>0</v>
      </c>
      <c r="GP9" s="223">
        <f>IF($GK9=Creation!$Q$31,1,0)</f>
        <v>0</v>
      </c>
      <c r="GQ9" s="223">
        <f>IF($GK9=Creation!$Q$32,1,0)</f>
        <v>0</v>
      </c>
      <c r="GR9" s="223">
        <f>IF($GK9=Creation!$Q$33,1,0)</f>
        <v>0</v>
      </c>
    </row>
    <row r="10" spans="1:200" x14ac:dyDescent="0.25">
      <c r="A10" s="677" t="s">
        <v>17</v>
      </c>
      <c r="B10" s="356"/>
      <c r="C10" s="356"/>
      <c r="D10" s="356"/>
      <c r="E10" s="146">
        <v>1</v>
      </c>
      <c r="F10" s="146">
        <f>IF(Creation!$E$26+Creation!$I$26&gt;E$5,1,0)</f>
        <v>0</v>
      </c>
      <c r="G10" s="146">
        <f>IF(Creation!$E$26+Creation!$I$26&gt;F$5,1,0)</f>
        <v>0</v>
      </c>
      <c r="H10" s="146">
        <f>IF(Creation!$E$26+Creation!$I$26&gt;G$5,1,0)</f>
        <v>0</v>
      </c>
      <c r="I10" s="146">
        <f>IF(Creation!$E$26+Creation!$I$26&gt;H$5,1,0)</f>
        <v>0</v>
      </c>
      <c r="J10" s="146">
        <f>IF(Creation!$E$26+Creation!$I$26&gt;I$5,1,0)</f>
        <v>0</v>
      </c>
      <c r="K10" s="146">
        <f>IF(Creation!$E$26+Creation!$I$26&gt;J$5,1,0)</f>
        <v>0</v>
      </c>
      <c r="L10" s="146">
        <f>IF(Creation!$E$26+Creation!$I$26&gt;K$5,1,0)</f>
        <v>0</v>
      </c>
      <c r="M10" s="146">
        <f>IF(Creation!$E$26+Creation!$I$26&gt;L$5,1,0)</f>
        <v>0</v>
      </c>
      <c r="N10" s="146">
        <f>IF(Creation!$E$26+Creation!$I$26&gt;M$5,1,0)</f>
        <v>0</v>
      </c>
      <c r="O10" s="149">
        <f>IF(Creation!$E$26+Creation!$I$26&gt;N$5,1,0)</f>
        <v>0</v>
      </c>
      <c r="P10" s="677" t="s">
        <v>36</v>
      </c>
      <c r="Q10" s="356"/>
      <c r="R10" s="356"/>
      <c r="S10" s="356"/>
      <c r="T10" s="146">
        <f>IF(Creation!AC5+Creation!AF5&gt;0,1,0)</f>
        <v>0</v>
      </c>
      <c r="U10" s="146">
        <f>IF(Creation!AC5+Creation!AF5&gt;1,1,0)</f>
        <v>0</v>
      </c>
      <c r="V10" s="146">
        <f>IF(Creation!AC5+Creation!AF5&gt;2,1,0)</f>
        <v>0</v>
      </c>
      <c r="W10" s="146">
        <f>IF(Creation!AC5+Creation!AF5&gt;3,1,0)</f>
        <v>0</v>
      </c>
      <c r="X10" s="147">
        <f>IF(Creation!AC5+Creation!AF5&gt;4,1,0)</f>
        <v>0</v>
      </c>
      <c r="Y10" s="677" t="s">
        <v>17</v>
      </c>
      <c r="Z10" s="356"/>
      <c r="AA10" s="356"/>
      <c r="AB10" s="401"/>
      <c r="AC10" s="221"/>
      <c r="AD10" s="240"/>
      <c r="AE10" s="240"/>
      <c r="AF10" s="240"/>
      <c r="AG10" s="240"/>
      <c r="AH10" s="240"/>
      <c r="AI10" s="240"/>
      <c r="AJ10" s="240"/>
      <c r="AK10" s="240"/>
      <c r="AL10" s="240"/>
      <c r="AM10" s="241"/>
      <c r="AN10" s="677" t="s">
        <v>36</v>
      </c>
      <c r="AO10" s="356"/>
      <c r="AP10" s="356"/>
      <c r="AQ10" s="401"/>
      <c r="AR10" s="239"/>
      <c r="AS10" s="240"/>
      <c r="AT10" s="240"/>
      <c r="AU10" s="240"/>
      <c r="AV10" s="241"/>
      <c r="AW10" s="690" t="s">
        <v>17</v>
      </c>
      <c r="AX10" s="356"/>
      <c r="AY10" s="356"/>
      <c r="AZ10" s="401"/>
      <c r="BA10" s="131"/>
      <c r="BB10" s="240"/>
      <c r="BC10" s="240"/>
      <c r="BD10" s="240"/>
      <c r="BE10" s="240"/>
      <c r="BF10" s="240"/>
      <c r="BG10" s="240"/>
      <c r="BH10" s="240"/>
      <c r="BI10" s="240"/>
      <c r="BJ10" s="240"/>
      <c r="BK10" s="241"/>
      <c r="BL10" s="677" t="s">
        <v>36</v>
      </c>
      <c r="BM10" s="356"/>
      <c r="BN10" s="356"/>
      <c r="BO10" s="401"/>
      <c r="BP10" s="250"/>
      <c r="BQ10" s="240"/>
      <c r="BR10" s="240"/>
      <c r="BS10" s="240"/>
      <c r="BT10" s="241"/>
      <c r="BU10" s="690" t="s">
        <v>17</v>
      </c>
      <c r="BV10" s="356"/>
      <c r="BW10" s="356"/>
      <c r="BX10" s="356"/>
      <c r="BY10" s="146">
        <v>0</v>
      </c>
      <c r="BZ10" s="146">
        <f>IF(SUM($BY10:BY10)=SUM(DemigodConversion!$G26:$L26),0,IF(AND(F10=0,AD10=0,BB10=0,DemigodConversion!$E26+DemigodConversion!$G26+DemigodConversion!$I26&gt;BY$5),1,0))</f>
        <v>0</v>
      </c>
      <c r="CA10" s="146">
        <f>IF(SUM($BY10:BZ10)=SUM(DemigodConversion!$G26:$L26),0,IF(AND(G10=0,AE10=0,BC10=0,DemigodConversion!$E26+DemigodConversion!$G26+DemigodConversion!$I26&gt;BZ$5),1,0))</f>
        <v>0</v>
      </c>
      <c r="CB10" s="146">
        <f>IF(SUM($BY10:CA10)=SUM(DemigodConversion!$G26:$L26),0,IF(AND(H10=0,AF10=0,BD10=0,DemigodConversion!$E26+DemigodConversion!$G26+DemigodConversion!$I26&gt;CA$5),1,0))</f>
        <v>0</v>
      </c>
      <c r="CC10" s="146">
        <f>IF(SUM($BY10:CB10)=SUM(DemigodConversion!$G26:$L26),0,IF(AND(I10=0,AG10=0,BE10=0,DemigodConversion!$E26+DemigodConversion!$G26+DemigodConversion!$I26&gt;CB$5),1,0))</f>
        <v>0</v>
      </c>
      <c r="CD10" s="146">
        <f>IF(SUM($BY10:CC10)=SUM(DemigodConversion!$G26:$L26),0,IF(AND(J10=0,AH10=0,BF10=0,DemigodConversion!$E26+DemigodConversion!$G26+DemigodConversion!$I26&gt;CC$5),1,0))</f>
        <v>0</v>
      </c>
      <c r="CE10" s="146">
        <f>IF(SUM($BY10:CD10)=SUM(DemigodConversion!$G26:$L26),0,IF(AND(K10=0,AI10=0,BG10=0,DemigodConversion!$E26+DemigodConversion!$G26+DemigodConversion!$I26&gt;CD$5),1,0))</f>
        <v>0</v>
      </c>
      <c r="CF10" s="146">
        <f>IF(SUM($BY10:CE10)=SUM(DemigodConversion!$G26:$L26),0,IF(AND(L10=0,AJ10=0,BH10=0,DemigodConversion!$E26+DemigodConversion!$G26+DemigodConversion!$I26&gt;CE$5),1,0))</f>
        <v>0</v>
      </c>
      <c r="CG10" s="146">
        <f>IF(SUM($BY10:CF10)=SUM(DemigodConversion!$G26:$L26),0,IF(AND(M10=0,AK10=0,BI10=0,DemigodConversion!$E26+DemigodConversion!$G26+DemigodConversion!$I26&gt;CF$5),1,0))</f>
        <v>0</v>
      </c>
      <c r="CH10" s="146">
        <f>IF(SUM($BY10:CG10)=SUM(DemigodConversion!$G26:$L26),0,IF(AND(N10=0,AL10=0,BJ10=0,DemigodConversion!$E26+DemigodConversion!$G26+DemigodConversion!$I26&gt;CG$5),1,0))</f>
        <v>0</v>
      </c>
      <c r="CI10" s="147">
        <f>IF(SUM($BY10:CH10)=SUM(DemigodConversion!$G26:$L26),0,IF(AND(O10=0,AM10=0,BK10=0,DemigodConversion!$E26+DemigodConversion!$G26+DemigodConversion!$I26&gt;CH$5),1,0))</f>
        <v>0</v>
      </c>
      <c r="CJ10" s="677" t="s">
        <v>36</v>
      </c>
      <c r="CK10" s="356"/>
      <c r="CL10" s="356"/>
      <c r="CM10" s="356"/>
      <c r="CN10" s="229">
        <f>IF(AND(T10=0,AR10=0,BP10=0,FB8=0,FK8=0,FT8=0,GC8=0,ES8=0,DemigodConversion!$AC5+DemigodConversion!$AF5&gt;0),1,0)</f>
        <v>0</v>
      </c>
      <c r="CO10" s="271">
        <f>IF(AND(U10=0,AS10=0,BQ10=0,FC8=0,FL8=0,FU8=0,GD8=0,ET8=0,DemigodConversion!$AC5+DemigodConversion!$AF5&gt;1),1,0)</f>
        <v>0</v>
      </c>
      <c r="CP10" s="271">
        <f>IF(AND(V10=0,AT10=0,BR10=0,FD8=0,FM8=0,FV8=0,GE8=0,EU8=0,DemigodConversion!$AC5+DemigodConversion!$AF5&gt;2),1,0)</f>
        <v>0</v>
      </c>
      <c r="CQ10" s="271">
        <f>IF(AND(W10=0,AU10=0,BS10=0,FE8=0,FN8=0,FW8=0,GF8=0,EV8=0,DemigodConversion!$AC5+DemigodConversion!$AF5&gt;3),1,0)</f>
        <v>0</v>
      </c>
      <c r="CR10" s="271">
        <f>IF(AND(X10=0,AV10=0,BT10=0,FF8=0,FO8=0,FX8=0,GG8=0,EW8=0,DemigodConversion!$AC5+DemigodConversion!$AF5&gt;4),1,0)</f>
        <v>0</v>
      </c>
      <c r="CS10" s="690" t="s">
        <v>17</v>
      </c>
      <c r="CT10" s="356"/>
      <c r="CU10" s="356"/>
      <c r="CV10" s="356"/>
      <c r="CW10" s="146">
        <v>0</v>
      </c>
      <c r="CX10" s="146">
        <f>IF(AND(F10=0,AD10=0,BB10=0,BZ10=0,CW$5&lt;SUM(GodConversion!$E26:$L26)),1,0)</f>
        <v>0</v>
      </c>
      <c r="CY10" s="146">
        <f>IF(AND(G10=0,AE10=0,BC10=0,CA10=0,CX$5&lt;SUM(GodConversion!$E26:$L26)),1,0)</f>
        <v>0</v>
      </c>
      <c r="CZ10" s="146">
        <f>IF(AND(H10=0,AF10=0,BD10=0,CB10=0,CY$5&lt;SUM(GodConversion!$E26:$L26)),1,0)</f>
        <v>0</v>
      </c>
      <c r="DA10" s="146">
        <f>IF(AND(I10=0,AG10=0,BE10=0,CC10=0,CZ$5&lt;SUM(GodConversion!$E26:$L26)),1,0)</f>
        <v>0</v>
      </c>
      <c r="DB10" s="146">
        <f>IF(AND(J10=0,AH10=0,BF10=0,CD10=0,DA$5&lt;SUM(GodConversion!$E26:$L26)),1,0)</f>
        <v>0</v>
      </c>
      <c r="DC10" s="146">
        <f>IF(AND(K10=0,AI10=0,BG10=0,CE10=0,DB$5&lt;SUM(GodConversion!$E26:$L26)),1,0)</f>
        <v>0</v>
      </c>
      <c r="DD10" s="146">
        <f>IF(AND(L10=0,AJ10=0,BH10=0,CF10=0,DC$5&lt;SUM(GodConversion!$E26:$L26)),1,0)</f>
        <v>0</v>
      </c>
      <c r="DE10" s="146">
        <f>IF(AND(M10=0,AK10=0,BI10=0,CG10=0,DD$5&lt;SUM(GodConversion!$E26:$L26)),1,0)</f>
        <v>0</v>
      </c>
      <c r="DF10" s="146">
        <f>IF(AND(N10=0,AL10=0,BJ10=0,CH10=0,DE$5&lt;SUM(GodConversion!$E26:$L26)),1,0)</f>
        <v>0</v>
      </c>
      <c r="DG10" s="146">
        <f>IF(AND(O10=0,AM10=0,BK10=0,CI10=0,DF$5&lt;SUM(GodConversion!$E26:$L26)),1,0)</f>
        <v>0</v>
      </c>
      <c r="DH10" s="677" t="s">
        <v>36</v>
      </c>
      <c r="DI10" s="356"/>
      <c r="DJ10" s="356"/>
      <c r="DK10" s="356"/>
      <c r="DL10" s="229">
        <f>IF(AND(T10=0,AR10=0,BP10=0,ES8=0,FB8=0,FK8=0,FT8=0,GC8=0,CN10=0,0&lt;GodConversion!$AC5+GodConversion!$AF5),1,0)</f>
        <v>0</v>
      </c>
      <c r="DM10" s="271">
        <f>IF(AND(U10=0,AS10=0,BQ10=0,ET8=0,FC8=0,FL8=0,FU8=0,GD8=0,CO10=0,1&lt;GodConversion!$AC5+GodConversion!$AF5),1,0)</f>
        <v>0</v>
      </c>
      <c r="DN10" s="271">
        <f>IF(AND(V10=0,AT10=0,BR10=0,EU8=0,FD8=0,FM8=0,FV8=0,GE8=0,CP10=0,2&lt;GodConversion!$AC5+GodConversion!$AF5),1,0)</f>
        <v>0</v>
      </c>
      <c r="DO10" s="271">
        <f>IF(AND(W10=0,AU10=0,BS10=0,EV8=0,FE8=0,FN8=0,FW8=0,GF8=0,CQ10=0,3&lt;GodConversion!$AC5+GodConversion!$AF5),1,0)</f>
        <v>0</v>
      </c>
      <c r="DP10" s="271">
        <f>IF(AND(X10=0,AV10=0,BT10=0,EW8=0,FF8=0,FO8=0,FX8=0,GG8=0,CR10=0,4&lt;GodConversion!$AC5+GodConversion!$AF5),1,0)</f>
        <v>0</v>
      </c>
      <c r="DQ10" s="677" t="s">
        <v>17</v>
      </c>
      <c r="DR10" s="356"/>
      <c r="DS10" s="356"/>
      <c r="DT10" s="356"/>
      <c r="DU10" s="146">
        <v>0</v>
      </c>
      <c r="DV10" s="146">
        <f t="shared" ref="DV10:EE10" si="10">IF(AD10=1,DU$5*4,0)</f>
        <v>0</v>
      </c>
      <c r="DW10" s="146">
        <f t="shared" si="10"/>
        <v>0</v>
      </c>
      <c r="DX10" s="146">
        <f t="shared" si="10"/>
        <v>0</v>
      </c>
      <c r="DY10" s="146">
        <f t="shared" si="10"/>
        <v>0</v>
      </c>
      <c r="DZ10" s="146">
        <f t="shared" si="10"/>
        <v>0</v>
      </c>
      <c r="EA10" s="146">
        <f t="shared" si="10"/>
        <v>0</v>
      </c>
      <c r="EB10" s="146">
        <f t="shared" si="10"/>
        <v>0</v>
      </c>
      <c r="EC10" s="146">
        <f t="shared" si="10"/>
        <v>0</v>
      </c>
      <c r="ED10" s="146">
        <f t="shared" si="10"/>
        <v>0</v>
      </c>
      <c r="EE10" s="149">
        <f t="shared" si="10"/>
        <v>0</v>
      </c>
      <c r="EF10" s="677" t="s">
        <v>36</v>
      </c>
      <c r="EG10" s="356"/>
      <c r="EH10" s="356"/>
      <c r="EI10" s="356"/>
      <c r="EJ10" s="210">
        <f t="shared" ref="EJ10:EJ28" si="11">IF(AR10=1,3,IF(ES8=1,1,IF(FB8=1,1,IF(FK8=1,1,IF(FT8=1,1,IF(GC8=1,1,0))))))</f>
        <v>0</v>
      </c>
      <c r="EK10" s="210">
        <f t="shared" ref="EK10:EK38" si="12">IF(AS10=1,IF(LOOKUP($EF10,$GK$7:$GK$30,$GL$7:$GL$30)=1,1,2),IF(OR(ET8=1,FC8=1,FL8=1),IF(LOOKUP($EF10,$GK$7:$GK$30,$GL$7:$GL$30)=1,1,1),IF(OR(FU8=1,GD8=1),IF(LOOKUP($EF10,$GK$7:$GK$30,$GL$7:$GL$30)=1,1,1),0)))</f>
        <v>0</v>
      </c>
      <c r="EL10" s="210">
        <f t="shared" ref="EL10:EL38" si="13">IF(AT10=1,IF(LOOKUP($EF10,$GK$7:$GK$30,$GL$7:$GL$30)=1,3,4),IF(OR(EU8=1,FD8=1,FM8=1),IF(LOOKUP($EF10,$GK$7:$GK$30,$GL$7:$GL$30)=1,1,2),IF(OR(FV8=1,GE8=1),IF(LOOKUP($EF10,$GK$7:$GK$30,$GL$7:$GL$30)=1,1,1),0)))</f>
        <v>0</v>
      </c>
      <c r="EM10" s="210">
        <f t="shared" ref="EM10:EM38" si="14">IF(AU10=1,IF(LOOKUP($EF10,$GK$7:$GK$30,$GL$7:$GL$30)=1,5,6),IF(OR(EV8=1,FE8=1,FN8=1),IF(LOOKUP($EF10,$GK$7:$GK$30,$GL$7:$GL$30)=1,2,3),IF(OR(FW8=1,GF8=1),IF(LOOKUP($EF10,$GK$7:$GK$30,$GL$7:$GL$30)=1,1,1),0)))</f>
        <v>0</v>
      </c>
      <c r="EN10" s="210">
        <f t="shared" ref="EN10:EN38" si="15">IF(AV10=1,IF(LOOKUP($EF10,$GK$7:$GK$30,$GL$7:$GL$30)=1,7,8),IF(OR(EW8=1,FF8=1,FO8=1),IF(LOOKUP($EF10,$GK$7:$GK$30,$GL$7:$GL$30)=1,3,4),IF(OR(FX8=1,GG8=1),IF(LOOKUP($EF10,$GK$7:$GK$30,$GL$7:$GL$30)=1,1,2),0)))</f>
        <v>0</v>
      </c>
      <c r="EO10" s="702" t="s">
        <v>38</v>
      </c>
      <c r="EP10" s="703"/>
      <c r="EQ10" s="703"/>
      <c r="ER10" s="704"/>
      <c r="ES10" s="248"/>
      <c r="ET10" s="249"/>
      <c r="EU10" s="240"/>
      <c r="EV10" s="240"/>
      <c r="EW10" s="240"/>
      <c r="EX10" s="711" t="s">
        <v>38</v>
      </c>
      <c r="EY10" s="712"/>
      <c r="EZ10" s="712"/>
      <c r="FA10" s="714"/>
      <c r="FB10" s="236"/>
      <c r="FC10" s="237"/>
      <c r="FD10" s="237"/>
      <c r="FE10" s="237"/>
      <c r="FF10" s="238"/>
      <c r="FG10" s="721" t="s">
        <v>38</v>
      </c>
      <c r="FH10" s="712"/>
      <c r="FI10" s="712"/>
      <c r="FJ10" s="713"/>
      <c r="FK10" s="236"/>
      <c r="FL10" s="237"/>
      <c r="FM10" s="237"/>
      <c r="FN10" s="237"/>
      <c r="FO10" s="238"/>
      <c r="FP10" s="711" t="s">
        <v>38</v>
      </c>
      <c r="FQ10" s="712"/>
      <c r="FR10" s="712"/>
      <c r="FS10" s="713"/>
      <c r="FT10" s="236"/>
      <c r="FU10" s="237"/>
      <c r="FV10" s="237"/>
      <c r="FW10" s="237"/>
      <c r="FX10" s="238"/>
      <c r="FY10" s="711" t="s">
        <v>38</v>
      </c>
      <c r="FZ10" s="712"/>
      <c r="GA10" s="712"/>
      <c r="GB10" s="713"/>
      <c r="GC10" s="236"/>
      <c r="GD10" s="237"/>
      <c r="GE10" s="237"/>
      <c r="GF10" s="237"/>
      <c r="GG10" s="238"/>
      <c r="GK10" s="223" t="s">
        <v>38</v>
      </c>
      <c r="GL10" s="223">
        <f t="shared" si="8"/>
        <v>0</v>
      </c>
      <c r="GM10" s="223">
        <f>IF($GK10=Creation!$Q$28,1,0)</f>
        <v>0</v>
      </c>
      <c r="GN10" s="223">
        <f>IF($GK10=Creation!$Q$29,1,0)</f>
        <v>0</v>
      </c>
      <c r="GO10" s="223">
        <f>IF($GK10=Creation!$Q$30,1,0)</f>
        <v>0</v>
      </c>
      <c r="GP10" s="223">
        <f>IF($GK10=Creation!$Q$31,1,0)</f>
        <v>0</v>
      </c>
      <c r="GQ10" s="223">
        <f>IF($GK10=Creation!$Q$32,1,0)</f>
        <v>0</v>
      </c>
      <c r="GR10" s="223">
        <f>IF($GK10=Creation!$Q$33,1,0)</f>
        <v>0</v>
      </c>
    </row>
    <row r="11" spans="1:200" x14ac:dyDescent="0.25">
      <c r="A11" s="677" t="s">
        <v>18</v>
      </c>
      <c r="B11" s="356"/>
      <c r="C11" s="356"/>
      <c r="D11" s="356"/>
      <c r="E11" s="146">
        <v>1</v>
      </c>
      <c r="F11" s="146">
        <f>IF(Creation!$E$27+Creation!$I$27&gt;E$5,1,0)</f>
        <v>0</v>
      </c>
      <c r="G11" s="146">
        <f>IF(Creation!$E$27+Creation!$I$27&gt;F$5,1,0)</f>
        <v>0</v>
      </c>
      <c r="H11" s="146">
        <f>IF(Creation!$E$27+Creation!$I$27&gt;G$5,1,0)</f>
        <v>0</v>
      </c>
      <c r="I11" s="146">
        <f>IF(Creation!$E$27+Creation!$I$27&gt;H$5,1,0)</f>
        <v>0</v>
      </c>
      <c r="J11" s="146">
        <f>IF(Creation!$E$27+Creation!$I$27&gt;I$5,1,0)</f>
        <v>0</v>
      </c>
      <c r="K11" s="146">
        <f>IF(Creation!$E$27+Creation!$I$27&gt;J$5,1,0)</f>
        <v>0</v>
      </c>
      <c r="L11" s="146">
        <f>IF(Creation!$E$27+Creation!$I$27&gt;K$5,1,0)</f>
        <v>0</v>
      </c>
      <c r="M11" s="146">
        <f>IF(Creation!$E$27+Creation!$I$27&gt;L$5,1,0)</f>
        <v>0</v>
      </c>
      <c r="N11" s="146">
        <f>IF(Creation!$E$27+Creation!$I$27&gt;M$5,1,0)</f>
        <v>0</v>
      </c>
      <c r="O11" s="149">
        <f>IF(Creation!$E$27+Creation!$I$27&gt;N$5,1,0)</f>
        <v>0</v>
      </c>
      <c r="P11" s="677" t="s">
        <v>37</v>
      </c>
      <c r="Q11" s="356"/>
      <c r="R11" s="356"/>
      <c r="S11" s="356"/>
      <c r="T11" s="146">
        <f>IF(Creation!AC6+Creation!AF6&gt;0,1,0)</f>
        <v>0</v>
      </c>
      <c r="U11" s="146">
        <f>IF(Creation!AC6+Creation!AF6&gt;1,1,0)</f>
        <v>0</v>
      </c>
      <c r="V11" s="146">
        <f>IF(Creation!AC6+Creation!AF6&gt;2,1,0)</f>
        <v>0</v>
      </c>
      <c r="W11" s="146">
        <f>IF(Creation!AC6+Creation!AF6&gt;3,1,0)</f>
        <v>0</v>
      </c>
      <c r="X11" s="147">
        <f>IF(Creation!AC6+Creation!AF6&gt;4,1,0)</f>
        <v>0</v>
      </c>
      <c r="Y11" s="677" t="s">
        <v>18</v>
      </c>
      <c r="Z11" s="356"/>
      <c r="AA11" s="356"/>
      <c r="AB11" s="401"/>
      <c r="AC11" s="221"/>
      <c r="AD11" s="240"/>
      <c r="AE11" s="240"/>
      <c r="AF11" s="240"/>
      <c r="AG11" s="240"/>
      <c r="AH11" s="240"/>
      <c r="AI11" s="240"/>
      <c r="AJ11" s="240"/>
      <c r="AK11" s="240"/>
      <c r="AL11" s="240"/>
      <c r="AM11" s="241"/>
      <c r="AN11" s="677" t="s">
        <v>37</v>
      </c>
      <c r="AO11" s="356"/>
      <c r="AP11" s="356"/>
      <c r="AQ11" s="401"/>
      <c r="AR11" s="239"/>
      <c r="AS11" s="240"/>
      <c r="AT11" s="240"/>
      <c r="AU11" s="240"/>
      <c r="AV11" s="241"/>
      <c r="AW11" s="690" t="s">
        <v>18</v>
      </c>
      <c r="AX11" s="356"/>
      <c r="AY11" s="356"/>
      <c r="AZ11" s="401"/>
      <c r="BA11" s="131"/>
      <c r="BB11" s="240"/>
      <c r="BC11" s="240"/>
      <c r="BD11" s="240"/>
      <c r="BE11" s="240"/>
      <c r="BF11" s="240"/>
      <c r="BG11" s="240"/>
      <c r="BH11" s="240"/>
      <c r="BI11" s="240"/>
      <c r="BJ11" s="240"/>
      <c r="BK11" s="241"/>
      <c r="BL11" s="677" t="s">
        <v>37</v>
      </c>
      <c r="BM11" s="356"/>
      <c r="BN11" s="356"/>
      <c r="BO11" s="401"/>
      <c r="BP11" s="250"/>
      <c r="BQ11" s="240"/>
      <c r="BR11" s="240"/>
      <c r="BS11" s="240"/>
      <c r="BT11" s="241"/>
      <c r="BU11" s="690" t="s">
        <v>18</v>
      </c>
      <c r="BV11" s="356"/>
      <c r="BW11" s="356"/>
      <c r="BX11" s="356"/>
      <c r="BY11" s="146">
        <v>0</v>
      </c>
      <c r="BZ11" s="146">
        <f>IF(SUM($BY11:BY11)=SUM(DemigodConversion!$G27:$L27),0,IF(AND(F11=0,AD11=0,BB11=0,DemigodConversion!$E27+DemigodConversion!$G27+DemigodConversion!$I27&gt;BY$5),1,0))</f>
        <v>0</v>
      </c>
      <c r="CA11" s="146">
        <f>IF(SUM($BY11:BZ11)=SUM(DemigodConversion!$G27:$L27),0,IF(AND(G11=0,AE11=0,BC11=0,DemigodConversion!$E27+DemigodConversion!$G27+DemigodConversion!$I27&gt;BZ$5),1,0))</f>
        <v>0</v>
      </c>
      <c r="CB11" s="146">
        <f>IF(SUM($BY11:CA11)=SUM(DemigodConversion!$G27:$L27),0,IF(AND(H11=0,AF11=0,BD11=0,DemigodConversion!$E27+DemigodConversion!$G27+DemigodConversion!$I27&gt;CA$5),1,0))</f>
        <v>0</v>
      </c>
      <c r="CC11" s="146">
        <f>IF(SUM($BY11:CB11)=SUM(DemigodConversion!$G27:$L27),0,IF(AND(I11=0,AG11=0,BE11=0,DemigodConversion!$E27+DemigodConversion!$G27+DemigodConversion!$I27&gt;CB$5),1,0))</f>
        <v>0</v>
      </c>
      <c r="CD11" s="146">
        <f>IF(SUM($BY11:CC11)=SUM(DemigodConversion!$G27:$L27),0,IF(AND(J11=0,AH11=0,BF11=0,DemigodConversion!$E27+DemigodConversion!$G27+DemigodConversion!$I27&gt;CC$5),1,0))</f>
        <v>0</v>
      </c>
      <c r="CE11" s="146">
        <f>IF(SUM($BY11:CD11)=SUM(DemigodConversion!$G27:$L27),0,IF(AND(K11=0,AI11=0,BG11=0,DemigodConversion!$E27+DemigodConversion!$G27+DemigodConversion!$I27&gt;CD$5),1,0))</f>
        <v>0</v>
      </c>
      <c r="CF11" s="146">
        <f>IF(SUM($BY11:CE11)=SUM(DemigodConversion!$G27:$L27),0,IF(AND(L11=0,AJ11=0,BH11=0,DemigodConversion!$E27+DemigodConversion!$G27+DemigodConversion!$I27&gt;CE$5),1,0))</f>
        <v>0</v>
      </c>
      <c r="CG11" s="146">
        <f>IF(SUM($BY11:CF11)=SUM(DemigodConversion!$G27:$L27),0,IF(AND(M11=0,AK11=0,BI11=0,DemigodConversion!$E27+DemigodConversion!$G27+DemigodConversion!$I27&gt;CF$5),1,0))</f>
        <v>0</v>
      </c>
      <c r="CH11" s="146">
        <f>IF(SUM($BY11:CG11)=SUM(DemigodConversion!$G27:$L27),0,IF(AND(N11=0,AL11=0,BJ11=0,DemigodConversion!$E27+DemigodConversion!$G27+DemigodConversion!$I27&gt;CG$5),1,0))</f>
        <v>0</v>
      </c>
      <c r="CI11" s="147">
        <f>IF(SUM($BY11:CH11)=SUM(DemigodConversion!$G27:$L27),0,IF(AND(O11=0,AM11=0,BK11=0,DemigodConversion!$E27+DemigodConversion!$G27+DemigodConversion!$I27&gt;CH$5),1,0))</f>
        <v>0</v>
      </c>
      <c r="CJ11" s="677" t="s">
        <v>37</v>
      </c>
      <c r="CK11" s="356"/>
      <c r="CL11" s="356"/>
      <c r="CM11" s="356"/>
      <c r="CN11" s="229">
        <f>IF(AND(T11=0,AR11=0,BP11=0,FB9=0,FK9=0,FT9=0,GC9=0,ES9=0,DemigodConversion!$AC6+DemigodConversion!$AF6&gt;0),1,0)</f>
        <v>0</v>
      </c>
      <c r="CO11" s="271">
        <f>IF(AND(U11=0,AS11=0,BQ11=0,FC9=0,FL9=0,FU9=0,GD9=0,ET9=0,DemigodConversion!$AC6+DemigodConversion!$AF6&gt;1),1,0)</f>
        <v>0</v>
      </c>
      <c r="CP11" s="271">
        <f>IF(AND(V11=0,AT11=0,BR11=0,FD9=0,FM9=0,FV9=0,GE9=0,EU9=0,DemigodConversion!$AC6+DemigodConversion!$AF6&gt;2),1,0)</f>
        <v>0</v>
      </c>
      <c r="CQ11" s="271">
        <f>IF(AND(W11=0,AU11=0,BS11=0,FE9=0,FN9=0,FW9=0,GF9=0,EV9=0,DemigodConversion!$AC6+DemigodConversion!$AF6&gt;3),1,0)</f>
        <v>0</v>
      </c>
      <c r="CR11" s="271">
        <f>IF(AND(X11=0,AV11=0,BT11=0,FF9=0,FO9=0,FX9=0,GG9=0,EW9=0,DemigodConversion!$AC6+DemigodConversion!$AF6&gt;4),1,0)</f>
        <v>0</v>
      </c>
      <c r="CS11" s="690" t="s">
        <v>18</v>
      </c>
      <c r="CT11" s="356"/>
      <c r="CU11" s="356"/>
      <c r="CV11" s="356"/>
      <c r="CW11" s="146">
        <v>0</v>
      </c>
      <c r="CX11" s="146">
        <f>IF(AND(F11=0,AD11=0,BB11=0,BZ11=0,CW$5&lt;SUM(GodConversion!$E27:$L27)),1,0)</f>
        <v>0</v>
      </c>
      <c r="CY11" s="146">
        <f>IF(AND(G11=0,AE11=0,BC11=0,CA11=0,CX$5&lt;SUM(GodConversion!$E27:$L27)),1,0)</f>
        <v>0</v>
      </c>
      <c r="CZ11" s="146">
        <f>IF(AND(H11=0,AF11=0,BD11=0,CB11=0,CY$5&lt;SUM(GodConversion!$E27:$L27)),1,0)</f>
        <v>0</v>
      </c>
      <c r="DA11" s="146">
        <f>IF(AND(I11=0,AG11=0,BE11=0,CC11=0,CZ$5&lt;SUM(GodConversion!$E27:$L27)),1,0)</f>
        <v>0</v>
      </c>
      <c r="DB11" s="146">
        <f>IF(AND(J11=0,AH11=0,BF11=0,CD11=0,DA$5&lt;SUM(GodConversion!$E27:$L27)),1,0)</f>
        <v>0</v>
      </c>
      <c r="DC11" s="146">
        <f>IF(AND(K11=0,AI11=0,BG11=0,CE11=0,DB$5&lt;SUM(GodConversion!$E27:$L27)),1,0)</f>
        <v>0</v>
      </c>
      <c r="DD11" s="146">
        <f>IF(AND(L11=0,AJ11=0,BH11=0,CF11=0,DC$5&lt;SUM(GodConversion!$E27:$L27)),1,0)</f>
        <v>0</v>
      </c>
      <c r="DE11" s="146">
        <f>IF(AND(M11=0,AK11=0,BI11=0,CG11=0,DD$5&lt;SUM(GodConversion!$E27:$L27)),1,0)</f>
        <v>0</v>
      </c>
      <c r="DF11" s="146">
        <f>IF(AND(N11=0,AL11=0,BJ11=0,CH11=0,DE$5&lt;SUM(GodConversion!$E27:$L27)),1,0)</f>
        <v>0</v>
      </c>
      <c r="DG11" s="146">
        <f>IF(AND(O11=0,AM11=0,BK11=0,CI11=0,DF$5&lt;SUM(GodConversion!$E27:$L27)),1,0)</f>
        <v>0</v>
      </c>
      <c r="DH11" s="677" t="s">
        <v>37</v>
      </c>
      <c r="DI11" s="356"/>
      <c r="DJ11" s="356"/>
      <c r="DK11" s="356"/>
      <c r="DL11" s="229">
        <f>IF(AND(T11=0,AR11=0,BP11=0,ES9=0,FB9=0,FK9=0,FT9=0,GC9=0,CN11=0,0&lt;GodConversion!$AC6+GodConversion!$AF6),1,0)</f>
        <v>0</v>
      </c>
      <c r="DM11" s="271">
        <f>IF(AND(U11=0,AS11=0,BQ11=0,ET9=0,FC9=0,FL9=0,FU9=0,GD9=0,CO11=0,1&lt;GodConversion!$AC6+GodConversion!$AF6),1,0)</f>
        <v>0</v>
      </c>
      <c r="DN11" s="271">
        <f>IF(AND(V11=0,AT11=0,BR11=0,EU9=0,FD9=0,FM9=0,FV9=0,GE9=0,CP11=0,2&lt;GodConversion!$AC6+GodConversion!$AF6),1,0)</f>
        <v>0</v>
      </c>
      <c r="DO11" s="271">
        <f>IF(AND(W11=0,AU11=0,BS11=0,EV9=0,FE9=0,FN9=0,FW9=0,GF9=0,CQ11=0,3&lt;GodConversion!$AC6+GodConversion!$AF6),1,0)</f>
        <v>0</v>
      </c>
      <c r="DP11" s="271">
        <f>IF(AND(X11=0,AV11=0,BT11=0,EW9=0,FF9=0,FO9=0,FX9=0,GG9=0,CR11=0,4&lt;GodConversion!$AC6+GodConversion!$AF6),1,0)</f>
        <v>0</v>
      </c>
      <c r="DQ11" s="677" t="s">
        <v>18</v>
      </c>
      <c r="DR11" s="356"/>
      <c r="DS11" s="356"/>
      <c r="DT11" s="356"/>
      <c r="DU11" s="146">
        <v>0</v>
      </c>
      <c r="DV11" s="146">
        <f t="shared" ref="DV11:EE11" si="16">IF(AD11=1,DU$5*4,0)</f>
        <v>0</v>
      </c>
      <c r="DW11" s="146">
        <f t="shared" si="16"/>
        <v>0</v>
      </c>
      <c r="DX11" s="146">
        <f t="shared" si="16"/>
        <v>0</v>
      </c>
      <c r="DY11" s="146">
        <f t="shared" si="16"/>
        <v>0</v>
      </c>
      <c r="DZ11" s="146">
        <f t="shared" si="16"/>
        <v>0</v>
      </c>
      <c r="EA11" s="146">
        <f>IF(AI11=1,DZ$5*4,0)</f>
        <v>0</v>
      </c>
      <c r="EB11" s="146">
        <f t="shared" si="16"/>
        <v>0</v>
      </c>
      <c r="EC11" s="146">
        <f t="shared" si="16"/>
        <v>0</v>
      </c>
      <c r="ED11" s="146">
        <f t="shared" si="16"/>
        <v>0</v>
      </c>
      <c r="EE11" s="149">
        <f t="shared" si="16"/>
        <v>0</v>
      </c>
      <c r="EF11" s="677" t="s">
        <v>37</v>
      </c>
      <c r="EG11" s="356"/>
      <c r="EH11" s="356"/>
      <c r="EI11" s="356"/>
      <c r="EJ11" s="210">
        <f t="shared" si="11"/>
        <v>0</v>
      </c>
      <c r="EK11" s="210">
        <f t="shared" si="12"/>
        <v>0</v>
      </c>
      <c r="EL11" s="210">
        <f t="shared" si="13"/>
        <v>0</v>
      </c>
      <c r="EM11" s="210">
        <f t="shared" si="14"/>
        <v>0</v>
      </c>
      <c r="EN11" s="210">
        <f t="shared" si="15"/>
        <v>0</v>
      </c>
      <c r="EO11" s="702" t="s">
        <v>39</v>
      </c>
      <c r="EP11" s="703"/>
      <c r="EQ11" s="703"/>
      <c r="ER11" s="704"/>
      <c r="ES11" s="248"/>
      <c r="ET11" s="249"/>
      <c r="EU11" s="240"/>
      <c r="EV11" s="240"/>
      <c r="EW11" s="240"/>
      <c r="EX11" s="711" t="s">
        <v>39</v>
      </c>
      <c r="EY11" s="712"/>
      <c r="EZ11" s="712"/>
      <c r="FA11" s="714"/>
      <c r="FB11" s="236"/>
      <c r="FC11" s="237"/>
      <c r="FD11" s="237"/>
      <c r="FE11" s="237"/>
      <c r="FF11" s="238"/>
      <c r="FG11" s="690" t="s">
        <v>39</v>
      </c>
      <c r="FH11" s="356"/>
      <c r="FI11" s="356"/>
      <c r="FJ11" s="401"/>
      <c r="FK11" s="239"/>
      <c r="FL11" s="240"/>
      <c r="FM11" s="240"/>
      <c r="FN11" s="240"/>
      <c r="FO11" s="241"/>
      <c r="FP11" s="711" t="s">
        <v>39</v>
      </c>
      <c r="FQ11" s="712"/>
      <c r="FR11" s="712"/>
      <c r="FS11" s="713"/>
      <c r="FT11" s="236"/>
      <c r="FU11" s="237"/>
      <c r="FV11" s="237"/>
      <c r="FW11" s="237"/>
      <c r="FX11" s="238"/>
      <c r="FY11" s="677" t="s">
        <v>39</v>
      </c>
      <c r="FZ11" s="356"/>
      <c r="GA11" s="356"/>
      <c r="GB11" s="401"/>
      <c r="GC11" s="239"/>
      <c r="GD11" s="240"/>
      <c r="GE11" s="240"/>
      <c r="GF11" s="240"/>
      <c r="GG11" s="241"/>
      <c r="GK11" s="223" t="s">
        <v>39</v>
      </c>
      <c r="GL11" s="223">
        <f t="shared" si="8"/>
        <v>0</v>
      </c>
      <c r="GM11" s="223">
        <f>IF($GK11=Creation!$Q$28,1,0)</f>
        <v>0</v>
      </c>
      <c r="GN11" s="223">
        <f>IF($GK11=Creation!$Q$29,1,0)</f>
        <v>0</v>
      </c>
      <c r="GO11" s="223">
        <f>IF($GK11=Creation!$Q$30,1,0)</f>
        <v>0</v>
      </c>
      <c r="GP11" s="223">
        <f>IF($GK11=Creation!$Q$31,1,0)</f>
        <v>0</v>
      </c>
      <c r="GQ11" s="223">
        <f>IF($GK11=Creation!$Q$32,1,0)</f>
        <v>0</v>
      </c>
      <c r="GR11" s="223">
        <f>IF($GK11=Creation!$Q$33,1,0)</f>
        <v>0</v>
      </c>
    </row>
    <row r="12" spans="1:200" x14ac:dyDescent="0.25">
      <c r="A12" s="677" t="s">
        <v>19</v>
      </c>
      <c r="B12" s="356"/>
      <c r="C12" s="356"/>
      <c r="D12" s="356"/>
      <c r="E12" s="146">
        <v>1</v>
      </c>
      <c r="F12" s="146">
        <f>IF(Creation!$E$31+Creation!$I$31&gt;E$5,1,0)</f>
        <v>0</v>
      </c>
      <c r="G12" s="146">
        <f>IF(Creation!$E$31+Creation!$I$31&gt;F$5,1,0)</f>
        <v>0</v>
      </c>
      <c r="H12" s="146">
        <f>IF(Creation!$E$31+Creation!$I$31&gt;G$5,1,0)</f>
        <v>0</v>
      </c>
      <c r="I12" s="146">
        <f>IF(Creation!$E$31+Creation!$I$31&gt;H$5,1,0)</f>
        <v>0</v>
      </c>
      <c r="J12" s="146">
        <f>IF(Creation!$E$31+Creation!$I$31&gt;I$5,1,0)</f>
        <v>0</v>
      </c>
      <c r="K12" s="146">
        <f>IF(Creation!$E$31+Creation!$I$31&gt;J$5,1,0)</f>
        <v>0</v>
      </c>
      <c r="L12" s="146">
        <f>IF(Creation!$E$31+Creation!$I$31&gt;K$5,1,0)</f>
        <v>0</v>
      </c>
      <c r="M12" s="146">
        <f>IF(Creation!$E$31+Creation!$I$31&gt;L$5,1,0)</f>
        <v>0</v>
      </c>
      <c r="N12" s="146">
        <f>IF(Creation!$E$31+Creation!$I$31&gt;M$5,1,0)</f>
        <v>0</v>
      </c>
      <c r="O12" s="149">
        <f>IF(Creation!$E$31+Creation!$I$31&gt;N$5,1,0)</f>
        <v>0</v>
      </c>
      <c r="P12" s="677" t="s">
        <v>38</v>
      </c>
      <c r="Q12" s="356"/>
      <c r="R12" s="356"/>
      <c r="S12" s="356"/>
      <c r="T12" s="146">
        <f>IF(Creation!AC7+Creation!AF7&gt;0,1,0)</f>
        <v>0</v>
      </c>
      <c r="U12" s="146">
        <f>IF(Creation!AC7+Creation!AF7&gt;1,1,0)</f>
        <v>0</v>
      </c>
      <c r="V12" s="146">
        <f>IF(Creation!AC7+Creation!AF7&gt;2,1,0)</f>
        <v>0</v>
      </c>
      <c r="W12" s="146">
        <f>IF(Creation!AC7+Creation!AF7&gt;3,1,0)</f>
        <v>0</v>
      </c>
      <c r="X12" s="147">
        <f>IF(Creation!AC7+Creation!AF7&gt;4,1,0)</f>
        <v>0</v>
      </c>
      <c r="Y12" s="677" t="s">
        <v>19</v>
      </c>
      <c r="Z12" s="356"/>
      <c r="AA12" s="356"/>
      <c r="AB12" s="401"/>
      <c r="AC12" s="221"/>
      <c r="AD12" s="240"/>
      <c r="AE12" s="240"/>
      <c r="AF12" s="240"/>
      <c r="AG12" s="240"/>
      <c r="AH12" s="240"/>
      <c r="AI12" s="240"/>
      <c r="AJ12" s="240"/>
      <c r="AK12" s="240"/>
      <c r="AL12" s="240"/>
      <c r="AM12" s="241"/>
      <c r="AN12" s="677" t="s">
        <v>38</v>
      </c>
      <c r="AO12" s="356"/>
      <c r="AP12" s="356"/>
      <c r="AQ12" s="401"/>
      <c r="AR12" s="239"/>
      <c r="AS12" s="240"/>
      <c r="AT12" s="240"/>
      <c r="AU12" s="240"/>
      <c r="AV12" s="241"/>
      <c r="AW12" s="690" t="s">
        <v>19</v>
      </c>
      <c r="AX12" s="356"/>
      <c r="AY12" s="356"/>
      <c r="AZ12" s="401"/>
      <c r="BA12" s="131"/>
      <c r="BB12" s="240"/>
      <c r="BC12" s="240"/>
      <c r="BD12" s="240"/>
      <c r="BE12" s="240"/>
      <c r="BF12" s="240"/>
      <c r="BG12" s="240"/>
      <c r="BH12" s="240"/>
      <c r="BI12" s="240"/>
      <c r="BJ12" s="240"/>
      <c r="BK12" s="241"/>
      <c r="BL12" s="677" t="s">
        <v>38</v>
      </c>
      <c r="BM12" s="356"/>
      <c r="BN12" s="356"/>
      <c r="BO12" s="401"/>
      <c r="BP12" s="250"/>
      <c r="BQ12" s="240"/>
      <c r="BR12" s="240"/>
      <c r="BS12" s="240"/>
      <c r="BT12" s="241"/>
      <c r="BU12" s="690" t="s">
        <v>19</v>
      </c>
      <c r="BV12" s="356"/>
      <c r="BW12" s="356"/>
      <c r="BX12" s="356"/>
      <c r="BY12" s="146">
        <v>0</v>
      </c>
      <c r="BZ12" s="146">
        <f>IF(SUM($BY12:BY12)=SUM(DemigodConversion!$G31:$L31),0,IF(AND(F12=0,AD12=0,BB12=0,DemigodConversion!$E31+DemigodConversion!$G31+DemigodConversion!$I31&gt;BY$5),1,0))</f>
        <v>0</v>
      </c>
      <c r="CA12" s="146">
        <f>IF(SUM($BY12:BZ12)=SUM(DemigodConversion!$G31:$L31),0,IF(AND(G12=0,AE12=0,BC12=0,DemigodConversion!$E31+DemigodConversion!$G31+DemigodConversion!$I31&gt;BZ$5),1,0))</f>
        <v>0</v>
      </c>
      <c r="CB12" s="146">
        <f>IF(SUM($BY12:CA12)=SUM(DemigodConversion!$G31:$L31),0,IF(AND(H12=0,AF12=0,BD12=0,DemigodConversion!$E31+DemigodConversion!$G31+DemigodConversion!$I31&gt;CA$5),1,0))</f>
        <v>0</v>
      </c>
      <c r="CC12" s="146">
        <f>IF(SUM($BY12:CB12)=SUM(DemigodConversion!$G31:$L31),0,IF(AND(I12=0,AG12=0,BE12=0,DemigodConversion!$E31+DemigodConversion!$G31+DemigodConversion!$I31&gt;CB$5),1,0))</f>
        <v>0</v>
      </c>
      <c r="CD12" s="146">
        <f>IF(SUM($BY12:CC12)=SUM(DemigodConversion!$G31:$L31),0,IF(AND(J12=0,AH12=0,BF12=0,DemigodConversion!$E31+DemigodConversion!$G31+DemigodConversion!$I31&gt;CC$5),1,0))</f>
        <v>0</v>
      </c>
      <c r="CE12" s="146">
        <f>IF(SUM($BY12:CD12)=SUM(DemigodConversion!$G31:$L31),0,IF(AND(K12=0,AI12=0,BG12=0,DemigodConversion!$E31+DemigodConversion!$G31+DemigodConversion!$I31&gt;CD$5),1,0))</f>
        <v>0</v>
      </c>
      <c r="CF12" s="146">
        <f>IF(SUM($BY12:CE12)=SUM(DemigodConversion!$G31:$L31),0,IF(AND(L12=0,AJ12=0,BH12=0,DemigodConversion!$E31+DemigodConversion!$G31+DemigodConversion!$I31&gt;CE$5),1,0))</f>
        <v>0</v>
      </c>
      <c r="CG12" s="146">
        <f>IF(SUM($BY12:CF12)=SUM(DemigodConversion!$G31:$L31),0,IF(AND(M12=0,AK12=0,BI12=0,DemigodConversion!$E31+DemigodConversion!$G31+DemigodConversion!$I31&gt;CF$5),1,0))</f>
        <v>0</v>
      </c>
      <c r="CH12" s="146">
        <f>IF(SUM($BY12:CG12)=SUM(DemigodConversion!$G31:$L31),0,IF(AND(N12=0,AL12=0,BJ12=0,DemigodConversion!$E31+DemigodConversion!$G31+DemigodConversion!$I31&gt;CG$5),1,0))</f>
        <v>0</v>
      </c>
      <c r="CI12" s="147">
        <f>IF(SUM($BY12:CH12)=SUM(DemigodConversion!$G31:$L31),0,IF(AND(O12=0,AM12=0,BK12=0,DemigodConversion!$E31+DemigodConversion!$G31+DemigodConversion!$I31&gt;CH$5),1,0))</f>
        <v>0</v>
      </c>
      <c r="CJ12" s="677" t="s">
        <v>38</v>
      </c>
      <c r="CK12" s="356"/>
      <c r="CL12" s="356"/>
      <c r="CM12" s="356"/>
      <c r="CN12" s="229">
        <f>IF(AND(T12=0,AR12=0,BP12=0,FB10=0,FK10=0,FT10=0,GC10=0,ES10=0,DemigodConversion!$AC7+DemigodConversion!$AF7&gt;0),1,0)</f>
        <v>0</v>
      </c>
      <c r="CO12" s="271">
        <f>IF(AND(U12=0,AS12=0,BQ12=0,FC10=0,FL10=0,FU10=0,GD10=0,ET10=0,DemigodConversion!$AC7+DemigodConversion!$AF7&gt;1),1,0)</f>
        <v>0</v>
      </c>
      <c r="CP12" s="271">
        <f>IF(AND(V12=0,AT12=0,BR12=0,FD10=0,FM10=0,FV10=0,GE10=0,EU10=0,DemigodConversion!$AC7+DemigodConversion!$AF7&gt;2),1,0)</f>
        <v>0</v>
      </c>
      <c r="CQ12" s="271">
        <f>IF(AND(W12=0,AU12=0,BS12=0,FE10=0,FN10=0,FW10=0,GF10=0,EV10=0,DemigodConversion!$AC7+DemigodConversion!$AF7&gt;3),1,0)</f>
        <v>0</v>
      </c>
      <c r="CR12" s="271">
        <f>IF(AND(X12=0,AV12=0,BT12=0,FF10=0,FO10=0,FX10=0,GG10=0,EW10=0,DemigodConversion!$AC7+DemigodConversion!$AF7&gt;4),1,0)</f>
        <v>0</v>
      </c>
      <c r="CS12" s="690" t="s">
        <v>19</v>
      </c>
      <c r="CT12" s="356"/>
      <c r="CU12" s="356"/>
      <c r="CV12" s="356"/>
      <c r="CW12" s="146">
        <v>0</v>
      </c>
      <c r="CX12" s="146">
        <f>IF(AND(F12=0,AD12=0,BB12=0,BZ12=0,CW$5&lt;SUM(GodConversion!$E31:$L31)),1,0)</f>
        <v>0</v>
      </c>
      <c r="CY12" s="146">
        <f>IF(AND(G12=0,AE12=0,BC12=0,CA12=0,CX$5&lt;SUM(GodConversion!$E31:$L31)),1,0)</f>
        <v>0</v>
      </c>
      <c r="CZ12" s="146">
        <f>IF(AND(H12=0,AF12=0,BD12=0,CB12=0,CY$5&lt;SUM(GodConversion!$E31:$L31)),1,0)</f>
        <v>0</v>
      </c>
      <c r="DA12" s="146">
        <f>IF(AND(I12=0,AG12=0,BE12=0,CC12=0,CZ$5&lt;SUM(GodConversion!$E31:$L31)),1,0)</f>
        <v>0</v>
      </c>
      <c r="DB12" s="146">
        <f>IF(AND(J12=0,AH12=0,BF12=0,CD12=0,DA$5&lt;SUM(GodConversion!$E31:$L31)),1,0)</f>
        <v>0</v>
      </c>
      <c r="DC12" s="146">
        <f>IF(AND(K12=0,AI12=0,BG12=0,CE12=0,DB$5&lt;SUM(GodConversion!$E31:$L31)),1,0)</f>
        <v>0</v>
      </c>
      <c r="DD12" s="146">
        <f>IF(AND(L12=0,AJ12=0,BH12=0,CF12=0,DC$5&lt;SUM(GodConversion!$E31:$L31)),1,0)</f>
        <v>0</v>
      </c>
      <c r="DE12" s="146">
        <f>IF(AND(M12=0,AK12=0,BI12=0,CG12=0,DD$5&lt;SUM(GodConversion!$E31:$L31)),1,0)</f>
        <v>0</v>
      </c>
      <c r="DF12" s="146">
        <f>IF(AND(N12=0,AL12=0,BJ12=0,CH12=0,DE$5&lt;SUM(GodConversion!$E31:$L31)),1,0)</f>
        <v>0</v>
      </c>
      <c r="DG12" s="146">
        <f>IF(AND(O12=0,AM12=0,BK12=0,CI12=0,DF$5&lt;SUM(GodConversion!$E31:$L31)),1,0)</f>
        <v>0</v>
      </c>
      <c r="DH12" s="677" t="s">
        <v>38</v>
      </c>
      <c r="DI12" s="356"/>
      <c r="DJ12" s="356"/>
      <c r="DK12" s="356"/>
      <c r="DL12" s="229">
        <f>IF(AND(T12=0,AR12=0,BP12=0,ES10=0,FB10=0,FK10=0,FT10=0,GC10=0,CN12=0,0&lt;GodConversion!$AC7+GodConversion!$AF7),1,0)</f>
        <v>0</v>
      </c>
      <c r="DM12" s="271">
        <f>IF(AND(U12=0,AS12=0,BQ12=0,ET10=0,FC10=0,FL10=0,FU10=0,GD10=0,CO12=0,1&lt;GodConversion!$AC7+GodConversion!$AF7),1,0)</f>
        <v>0</v>
      </c>
      <c r="DN12" s="271">
        <f>IF(AND(V12=0,AT12=0,BR12=0,EU10=0,FD10=0,FM10=0,FV10=0,GE10=0,CP12=0,2&lt;GodConversion!$AC7+GodConversion!$AF7),1,0)</f>
        <v>0</v>
      </c>
      <c r="DO12" s="271">
        <f>IF(AND(W12=0,AU12=0,BS12=0,EV10=0,FE10=0,FN10=0,FW10=0,GF10=0,CQ12=0,3&lt;GodConversion!$AC7+GodConversion!$AF7),1,0)</f>
        <v>0</v>
      </c>
      <c r="DP12" s="271">
        <f>IF(AND(X12=0,AV12=0,BT12=0,EW10=0,FF10=0,FO10=0,FX10=0,GG10=0,CR12=0,4&lt;GodConversion!$AC7+GodConversion!$AF7),1,0)</f>
        <v>0</v>
      </c>
      <c r="DQ12" s="677" t="s">
        <v>19</v>
      </c>
      <c r="DR12" s="356"/>
      <c r="DS12" s="356"/>
      <c r="DT12" s="356"/>
      <c r="DU12" s="146">
        <v>0</v>
      </c>
      <c r="DV12" s="146">
        <f t="shared" ref="DV12:EE12" si="17">IF(AD12=1,DU$5*4,0)</f>
        <v>0</v>
      </c>
      <c r="DW12" s="146">
        <f t="shared" si="17"/>
        <v>0</v>
      </c>
      <c r="DX12" s="146">
        <f t="shared" si="17"/>
        <v>0</v>
      </c>
      <c r="DY12" s="146">
        <f t="shared" si="17"/>
        <v>0</v>
      </c>
      <c r="DZ12" s="146">
        <f t="shared" si="17"/>
        <v>0</v>
      </c>
      <c r="EA12" s="146">
        <f t="shared" si="17"/>
        <v>0</v>
      </c>
      <c r="EB12" s="146">
        <f t="shared" si="17"/>
        <v>0</v>
      </c>
      <c r="EC12" s="146">
        <f t="shared" si="17"/>
        <v>0</v>
      </c>
      <c r="ED12" s="146">
        <f t="shared" si="17"/>
        <v>0</v>
      </c>
      <c r="EE12" s="149">
        <f t="shared" si="17"/>
        <v>0</v>
      </c>
      <c r="EF12" s="677" t="s">
        <v>38</v>
      </c>
      <c r="EG12" s="356"/>
      <c r="EH12" s="356"/>
      <c r="EI12" s="356"/>
      <c r="EJ12" s="210">
        <f t="shared" si="11"/>
        <v>0</v>
      </c>
      <c r="EK12" s="210">
        <f t="shared" si="12"/>
        <v>0</v>
      </c>
      <c r="EL12" s="210">
        <f t="shared" si="13"/>
        <v>0</v>
      </c>
      <c r="EM12" s="210">
        <f t="shared" si="14"/>
        <v>0</v>
      </c>
      <c r="EN12" s="210">
        <f t="shared" si="15"/>
        <v>0</v>
      </c>
      <c r="EO12" s="702" t="s">
        <v>40</v>
      </c>
      <c r="EP12" s="703"/>
      <c r="EQ12" s="703"/>
      <c r="ER12" s="704"/>
      <c r="ES12" s="248"/>
      <c r="ET12" s="249"/>
      <c r="EU12" s="240"/>
      <c r="EV12" s="240"/>
      <c r="EW12" s="240"/>
      <c r="EX12" s="711" t="s">
        <v>40</v>
      </c>
      <c r="EY12" s="712"/>
      <c r="EZ12" s="712"/>
      <c r="FA12" s="714"/>
      <c r="FB12" s="236"/>
      <c r="FC12" s="237"/>
      <c r="FD12" s="237"/>
      <c r="FE12" s="237"/>
      <c r="FF12" s="238"/>
      <c r="FG12" s="721" t="s">
        <v>40</v>
      </c>
      <c r="FH12" s="712"/>
      <c r="FI12" s="712"/>
      <c r="FJ12" s="713"/>
      <c r="FK12" s="236"/>
      <c r="FL12" s="237"/>
      <c r="FM12" s="237"/>
      <c r="FN12" s="237"/>
      <c r="FO12" s="238"/>
      <c r="FP12" s="711" t="s">
        <v>40</v>
      </c>
      <c r="FQ12" s="712"/>
      <c r="FR12" s="712"/>
      <c r="FS12" s="713"/>
      <c r="FT12" s="236"/>
      <c r="FU12" s="237"/>
      <c r="FV12" s="237"/>
      <c r="FW12" s="237"/>
      <c r="FX12" s="238"/>
      <c r="FY12" s="711" t="s">
        <v>40</v>
      </c>
      <c r="FZ12" s="712"/>
      <c r="GA12" s="712"/>
      <c r="GB12" s="713"/>
      <c r="GC12" s="236"/>
      <c r="GD12" s="237"/>
      <c r="GE12" s="237"/>
      <c r="GF12" s="237"/>
      <c r="GG12" s="238"/>
      <c r="GK12" s="223" t="s">
        <v>40</v>
      </c>
      <c r="GL12" s="223">
        <f t="shared" si="8"/>
        <v>0</v>
      </c>
      <c r="GM12" s="223">
        <f>IF($GK12=Creation!$Q$28,1,0)</f>
        <v>0</v>
      </c>
      <c r="GN12" s="223">
        <f>IF($GK12=Creation!$Q$29,1,0)</f>
        <v>0</v>
      </c>
      <c r="GO12" s="223">
        <f>IF($GK12=Creation!$Q$30,1,0)</f>
        <v>0</v>
      </c>
      <c r="GP12" s="223">
        <f>IF($GK12=Creation!$Q$31,1,0)</f>
        <v>0</v>
      </c>
      <c r="GQ12" s="223">
        <f>IF($GK12=Creation!$Q$32,1,0)</f>
        <v>0</v>
      </c>
      <c r="GR12" s="223">
        <f>IF($GK12=Creation!$Q$33,1,0)</f>
        <v>0</v>
      </c>
    </row>
    <row r="13" spans="1:200" x14ac:dyDescent="0.25">
      <c r="A13" s="677" t="s">
        <v>20</v>
      </c>
      <c r="B13" s="356"/>
      <c r="C13" s="356"/>
      <c r="D13" s="356"/>
      <c r="E13" s="146">
        <v>1</v>
      </c>
      <c r="F13" s="146">
        <f>IF(Creation!$E$32+Creation!$I$32&gt;E$5,1,0)</f>
        <v>0</v>
      </c>
      <c r="G13" s="146">
        <f>IF(Creation!$E$32+Creation!$I$32&gt;F$5,1,0)</f>
        <v>0</v>
      </c>
      <c r="H13" s="146">
        <f>IF(Creation!$E$32+Creation!$I$32&gt;G$5,1,0)</f>
        <v>0</v>
      </c>
      <c r="I13" s="146">
        <f>IF(Creation!$E$32+Creation!$I$32&gt;H$5,1,0)</f>
        <v>0</v>
      </c>
      <c r="J13" s="146">
        <f>IF(Creation!$E$32+Creation!$I$32&gt;I$5,1,0)</f>
        <v>0</v>
      </c>
      <c r="K13" s="146">
        <f>IF(Creation!$E$32+Creation!$I$32&gt;J$5,1,0)</f>
        <v>0</v>
      </c>
      <c r="L13" s="146">
        <f>IF(Creation!$E$32+Creation!$I$32&gt;K$5,1,0)</f>
        <v>0</v>
      </c>
      <c r="M13" s="146">
        <f>IF(Creation!$E$32+Creation!$I$32&gt;L$5,1,0)</f>
        <v>0</v>
      </c>
      <c r="N13" s="146">
        <f>IF(Creation!$E$32+Creation!$I$32&gt;M$5,1,0)</f>
        <v>0</v>
      </c>
      <c r="O13" s="149">
        <f>IF(Creation!$E$32+Creation!$I$32&gt;N$5,1,0)</f>
        <v>0</v>
      </c>
      <c r="P13" s="677" t="s">
        <v>39</v>
      </c>
      <c r="Q13" s="356"/>
      <c r="R13" s="356"/>
      <c r="S13" s="356"/>
      <c r="T13" s="146">
        <f>IF(Creation!AC8+Creation!AF8&gt;0,1,0)</f>
        <v>0</v>
      </c>
      <c r="U13" s="146">
        <f>IF(Creation!AC8+Creation!AF8&gt;1,1,0)</f>
        <v>0</v>
      </c>
      <c r="V13" s="146">
        <f>IF(Creation!AC8+Creation!AF8&gt;2,1,0)</f>
        <v>0</v>
      </c>
      <c r="W13" s="146">
        <f>IF(Creation!AC8+Creation!AF8&gt;3,1,0)</f>
        <v>0</v>
      </c>
      <c r="X13" s="147">
        <f>IF(Creation!AC8+Creation!AF8&gt;4,1,0)</f>
        <v>0</v>
      </c>
      <c r="Y13" s="677" t="s">
        <v>20</v>
      </c>
      <c r="Z13" s="356"/>
      <c r="AA13" s="356"/>
      <c r="AB13" s="401"/>
      <c r="AC13" s="221"/>
      <c r="AD13" s="240"/>
      <c r="AE13" s="240"/>
      <c r="AF13" s="240"/>
      <c r="AG13" s="240"/>
      <c r="AH13" s="240"/>
      <c r="AI13" s="240"/>
      <c r="AJ13" s="240"/>
      <c r="AK13" s="240"/>
      <c r="AL13" s="240"/>
      <c r="AM13" s="241"/>
      <c r="AN13" s="677" t="s">
        <v>39</v>
      </c>
      <c r="AO13" s="356"/>
      <c r="AP13" s="356"/>
      <c r="AQ13" s="401"/>
      <c r="AR13" s="239"/>
      <c r="AS13" s="240"/>
      <c r="AT13" s="240"/>
      <c r="AU13" s="240"/>
      <c r="AV13" s="241"/>
      <c r="AW13" s="690" t="s">
        <v>20</v>
      </c>
      <c r="AX13" s="356"/>
      <c r="AY13" s="356"/>
      <c r="AZ13" s="401"/>
      <c r="BA13" s="131"/>
      <c r="BB13" s="240"/>
      <c r="BC13" s="240"/>
      <c r="BD13" s="240"/>
      <c r="BE13" s="240"/>
      <c r="BF13" s="240"/>
      <c r="BG13" s="240"/>
      <c r="BH13" s="240"/>
      <c r="BI13" s="240"/>
      <c r="BJ13" s="240"/>
      <c r="BK13" s="241"/>
      <c r="BL13" s="677" t="s">
        <v>39</v>
      </c>
      <c r="BM13" s="356"/>
      <c r="BN13" s="356"/>
      <c r="BO13" s="401"/>
      <c r="BP13" s="250"/>
      <c r="BQ13" s="240"/>
      <c r="BR13" s="240"/>
      <c r="BS13" s="240"/>
      <c r="BT13" s="241"/>
      <c r="BU13" s="690" t="s">
        <v>20</v>
      </c>
      <c r="BV13" s="356"/>
      <c r="BW13" s="356"/>
      <c r="BX13" s="356"/>
      <c r="BY13" s="146">
        <v>0</v>
      </c>
      <c r="BZ13" s="146">
        <f>IF(SUM($BY13:BY13)=SUM(DemigodConversion!$G32:$L32),0,IF(AND(F13=0,AD13=0,BB13=0,DemigodConversion!$E32+DemigodConversion!$G32+DemigodConversion!$I32&gt;BY$5),1,0))</f>
        <v>0</v>
      </c>
      <c r="CA13" s="146">
        <f>IF(SUM($BY13:BZ13)=SUM(DemigodConversion!$G32:$L32),0,IF(AND(G13=0,AE13=0,BC13=0,DemigodConversion!$E32+DemigodConversion!$G32+DemigodConversion!$I32&gt;BZ$5),1,0))</f>
        <v>0</v>
      </c>
      <c r="CB13" s="146">
        <f>IF(SUM($BY13:CA13)=SUM(DemigodConversion!$G32:$L32),0,IF(AND(H13=0,AF13=0,BD13=0,DemigodConversion!$E32+DemigodConversion!$G32+DemigodConversion!$I32&gt;CA$5),1,0))</f>
        <v>0</v>
      </c>
      <c r="CC13" s="146">
        <f>IF(SUM($BY13:CB13)=SUM(DemigodConversion!$G32:$L32),0,IF(AND(I13=0,AG13=0,BE13=0,DemigodConversion!$E32+DemigodConversion!$G32+DemigodConversion!$I32&gt;CB$5),1,0))</f>
        <v>0</v>
      </c>
      <c r="CD13" s="146">
        <f>IF(SUM($BY13:CC13)=SUM(DemigodConversion!$G32:$L32),0,IF(AND(J13=0,AH13=0,BF13=0,DemigodConversion!$E32+DemigodConversion!$G32+DemigodConversion!$I32&gt;CC$5),1,0))</f>
        <v>0</v>
      </c>
      <c r="CE13" s="146">
        <f>IF(SUM($BY13:CD13)=SUM(DemigodConversion!$G32:$L32),0,IF(AND(K13=0,AI13=0,BG13=0,DemigodConversion!$E32+DemigodConversion!$G32+DemigodConversion!$I32&gt;CD$5),1,0))</f>
        <v>0</v>
      </c>
      <c r="CF13" s="146">
        <f>IF(SUM($BY13:CE13)=SUM(DemigodConversion!$G32:$L32),0,IF(AND(L13=0,AJ13=0,BH13=0,DemigodConversion!$E32+DemigodConversion!$G32+DemigodConversion!$I32&gt;CE$5),1,0))</f>
        <v>0</v>
      </c>
      <c r="CG13" s="146">
        <f>IF(SUM($BY13:CF13)=SUM(DemigodConversion!$G32:$L32),0,IF(AND(M13=0,AK13=0,BI13=0,DemigodConversion!$E32+DemigodConversion!$G32+DemigodConversion!$I32&gt;CF$5),1,0))</f>
        <v>0</v>
      </c>
      <c r="CH13" s="146">
        <f>IF(SUM($BY13:CG13)=SUM(DemigodConversion!$G32:$L32),0,IF(AND(N13=0,AL13=0,BJ13=0,DemigodConversion!$E32+DemigodConversion!$G32+DemigodConversion!$I32&gt;CG$5),1,0))</f>
        <v>0</v>
      </c>
      <c r="CI13" s="147">
        <f>IF(SUM($BY13:CH13)=SUM(DemigodConversion!$G32:$L32),0,IF(AND(O13=0,AM13=0,BK13=0,DemigodConversion!$E32+DemigodConversion!$G32+DemigodConversion!$I32&gt;CH$5),1,0))</f>
        <v>0</v>
      </c>
      <c r="CJ13" s="677" t="s">
        <v>39</v>
      </c>
      <c r="CK13" s="356"/>
      <c r="CL13" s="356"/>
      <c r="CM13" s="356"/>
      <c r="CN13" s="229">
        <f>IF(AND(T13=0,AR13=0,BP13=0,FB11=0,FK11=0,FT11=0,GC11=0,ES11=0,DemigodConversion!$AC8+DemigodConversion!$AF8&gt;0),1,0)</f>
        <v>0</v>
      </c>
      <c r="CO13" s="271">
        <f>IF(AND(U13=0,AS13=0,BQ13=0,FC11=0,FL11=0,FU11=0,GD11=0,ET11=0,DemigodConversion!$AC8+DemigodConversion!$AF8&gt;1),1,0)</f>
        <v>0</v>
      </c>
      <c r="CP13" s="271">
        <f>IF(AND(V13=0,AT13=0,BR13=0,FD11=0,FM11=0,FV11=0,GE11=0,EU11=0,DemigodConversion!$AC8+DemigodConversion!$AF8&gt;2),1,0)</f>
        <v>0</v>
      </c>
      <c r="CQ13" s="271">
        <f>IF(AND(W13=0,AU13=0,BS13=0,FE11=0,FN11=0,FW11=0,GF11=0,EV11=0,DemigodConversion!$AC8+DemigodConversion!$AF8&gt;3),1,0)</f>
        <v>0</v>
      </c>
      <c r="CR13" s="271">
        <f>IF(AND(X13=0,AV13=0,BT13=0,FF11=0,FO11=0,FX11=0,GG11=0,EW11=0,DemigodConversion!$AC8+DemigodConversion!$AF8&gt;4),1,0)</f>
        <v>0</v>
      </c>
      <c r="CS13" s="690" t="s">
        <v>20</v>
      </c>
      <c r="CT13" s="356"/>
      <c r="CU13" s="356"/>
      <c r="CV13" s="356"/>
      <c r="CW13" s="146">
        <v>0</v>
      </c>
      <c r="CX13" s="146">
        <f>IF(AND(F13=0,AD13=0,BB13=0,BZ13=0,CW$5&lt;SUM(GodConversion!$E32:$L32)),1,0)</f>
        <v>0</v>
      </c>
      <c r="CY13" s="146">
        <f>IF(AND(G13=0,AE13=0,BC13=0,CA13=0,CX$5&lt;SUM(GodConversion!$E32:$L32)),1,0)</f>
        <v>0</v>
      </c>
      <c r="CZ13" s="146">
        <f>IF(AND(H13=0,AF13=0,BD13=0,CB13=0,CY$5&lt;SUM(GodConversion!$E32:$L32)),1,0)</f>
        <v>0</v>
      </c>
      <c r="DA13" s="146">
        <f>IF(AND(I13=0,AG13=0,BE13=0,CC13=0,CZ$5&lt;SUM(GodConversion!$E32:$L32)),1,0)</f>
        <v>0</v>
      </c>
      <c r="DB13" s="146">
        <f>IF(AND(J13=0,AH13=0,BF13=0,CD13=0,DA$5&lt;SUM(GodConversion!$E32:$L32)),1,0)</f>
        <v>0</v>
      </c>
      <c r="DC13" s="146">
        <f>IF(AND(K13=0,AI13=0,BG13=0,CE13=0,DB$5&lt;SUM(GodConversion!$E32:$L32)),1,0)</f>
        <v>0</v>
      </c>
      <c r="DD13" s="146">
        <f>IF(AND(L13=0,AJ13=0,BH13=0,CF13=0,DC$5&lt;SUM(GodConversion!$E32:$L32)),1,0)</f>
        <v>0</v>
      </c>
      <c r="DE13" s="146">
        <f>IF(AND(M13=0,AK13=0,BI13=0,CG13=0,DD$5&lt;SUM(GodConversion!$E32:$L32)),1,0)</f>
        <v>0</v>
      </c>
      <c r="DF13" s="146">
        <f>IF(AND(N13=0,AL13=0,BJ13=0,CH13=0,DE$5&lt;SUM(GodConversion!$E32:$L32)),1,0)</f>
        <v>0</v>
      </c>
      <c r="DG13" s="146">
        <f>IF(AND(O13=0,AM13=0,BK13=0,CI13=0,DF$5&lt;SUM(GodConversion!$E32:$L32)),1,0)</f>
        <v>0</v>
      </c>
      <c r="DH13" s="677" t="s">
        <v>39</v>
      </c>
      <c r="DI13" s="356"/>
      <c r="DJ13" s="356"/>
      <c r="DK13" s="356"/>
      <c r="DL13" s="229">
        <f>IF(AND(T13=0,AR13=0,BP13=0,ES11=0,FB11=0,FK11=0,FT11=0,GC11=0,CN13=0,0&lt;GodConversion!$AC8+GodConversion!$AF8),1,0)</f>
        <v>0</v>
      </c>
      <c r="DM13" s="271">
        <f>IF(AND(U13=0,AS13=0,BQ13=0,ET11=0,FC11=0,FL11=0,FU11=0,GD11=0,CO13=0,1&lt;GodConversion!$AC8+GodConversion!$AF8),1,0)</f>
        <v>0</v>
      </c>
      <c r="DN13" s="271">
        <f>IF(AND(V13=0,AT13=0,BR13=0,EU11=0,FD11=0,FM11=0,FV11=0,GE11=0,CP13=0,2&lt;GodConversion!$AC8+GodConversion!$AF8),1,0)</f>
        <v>0</v>
      </c>
      <c r="DO13" s="271">
        <f>IF(AND(W13=0,AU13=0,BS13=0,EV11=0,FE11=0,FN11=0,FW11=0,GF11=0,CQ13=0,3&lt;GodConversion!$AC8+GodConversion!$AF8),1,0)</f>
        <v>0</v>
      </c>
      <c r="DP13" s="271">
        <f>IF(AND(X13=0,AV13=0,BT13=0,EW11=0,FF11=0,FO11=0,FX11=0,GG11=0,CR13=0,4&lt;GodConversion!$AC8+GodConversion!$AF8),1,0)</f>
        <v>0</v>
      </c>
      <c r="DQ13" s="677" t="s">
        <v>20</v>
      </c>
      <c r="DR13" s="356"/>
      <c r="DS13" s="356"/>
      <c r="DT13" s="356"/>
      <c r="DU13" s="146">
        <v>0</v>
      </c>
      <c r="DV13" s="146">
        <f t="shared" ref="DV13:EE13" si="18">IF(AD13=1,DU$5*4,0)</f>
        <v>0</v>
      </c>
      <c r="DW13" s="146">
        <f t="shared" si="18"/>
        <v>0</v>
      </c>
      <c r="DX13" s="146">
        <f t="shared" si="18"/>
        <v>0</v>
      </c>
      <c r="DY13" s="146">
        <f t="shared" si="18"/>
        <v>0</v>
      </c>
      <c r="DZ13" s="146">
        <f t="shared" si="18"/>
        <v>0</v>
      </c>
      <c r="EA13" s="146">
        <f t="shared" si="18"/>
        <v>0</v>
      </c>
      <c r="EB13" s="146">
        <f t="shared" si="18"/>
        <v>0</v>
      </c>
      <c r="EC13" s="146">
        <f t="shared" si="18"/>
        <v>0</v>
      </c>
      <c r="ED13" s="146">
        <f t="shared" si="18"/>
        <v>0</v>
      </c>
      <c r="EE13" s="149">
        <f t="shared" si="18"/>
        <v>0</v>
      </c>
      <c r="EF13" s="677" t="s">
        <v>39</v>
      </c>
      <c r="EG13" s="356"/>
      <c r="EH13" s="356"/>
      <c r="EI13" s="356"/>
      <c r="EJ13" s="210">
        <f t="shared" si="11"/>
        <v>0</v>
      </c>
      <c r="EK13" s="210">
        <f t="shared" si="12"/>
        <v>0</v>
      </c>
      <c r="EL13" s="210">
        <f t="shared" si="13"/>
        <v>0</v>
      </c>
      <c r="EM13" s="210">
        <f t="shared" si="14"/>
        <v>0</v>
      </c>
      <c r="EN13" s="210">
        <f t="shared" si="15"/>
        <v>0</v>
      </c>
      <c r="EO13" s="702" t="s">
        <v>41</v>
      </c>
      <c r="EP13" s="703"/>
      <c r="EQ13" s="703"/>
      <c r="ER13" s="704"/>
      <c r="ES13" s="248"/>
      <c r="ET13" s="249"/>
      <c r="EU13" s="240"/>
      <c r="EV13" s="240"/>
      <c r="EW13" s="240"/>
      <c r="EX13" s="711" t="s">
        <v>41</v>
      </c>
      <c r="EY13" s="712"/>
      <c r="EZ13" s="712"/>
      <c r="FA13" s="714"/>
      <c r="FB13" s="236"/>
      <c r="FC13" s="237"/>
      <c r="FD13" s="237"/>
      <c r="FE13" s="237"/>
      <c r="FF13" s="238"/>
      <c r="FG13" s="721" t="s">
        <v>41</v>
      </c>
      <c r="FH13" s="712"/>
      <c r="FI13" s="712"/>
      <c r="FJ13" s="713"/>
      <c r="FK13" s="236"/>
      <c r="FL13" s="237"/>
      <c r="FM13" s="237"/>
      <c r="FN13" s="237"/>
      <c r="FO13" s="238"/>
      <c r="FP13" s="711" t="s">
        <v>41</v>
      </c>
      <c r="FQ13" s="712"/>
      <c r="FR13" s="712"/>
      <c r="FS13" s="713"/>
      <c r="FT13" s="236"/>
      <c r="FU13" s="237"/>
      <c r="FV13" s="237"/>
      <c r="FW13" s="237"/>
      <c r="FX13" s="238"/>
      <c r="FY13" s="711" t="s">
        <v>41</v>
      </c>
      <c r="FZ13" s="712"/>
      <c r="GA13" s="712"/>
      <c r="GB13" s="713"/>
      <c r="GC13" s="236"/>
      <c r="GD13" s="237"/>
      <c r="GE13" s="237"/>
      <c r="GF13" s="237"/>
      <c r="GG13" s="238"/>
      <c r="GK13" s="223" t="s">
        <v>41</v>
      </c>
      <c r="GL13" s="223">
        <f t="shared" si="8"/>
        <v>0</v>
      </c>
      <c r="GM13" s="223">
        <f>IF($GK13=Creation!$Q$28,1,0)</f>
        <v>0</v>
      </c>
      <c r="GN13" s="223">
        <f>IF($GK13=Creation!$Q$29,1,0)</f>
        <v>0</v>
      </c>
      <c r="GO13" s="223">
        <f>IF($GK13=Creation!$Q$30,1,0)</f>
        <v>0</v>
      </c>
      <c r="GP13" s="223">
        <f>IF($GK13=Creation!$Q$31,1,0)</f>
        <v>0</v>
      </c>
      <c r="GQ13" s="223">
        <f>IF($GK13=Creation!$Q$32,1,0)</f>
        <v>0</v>
      </c>
      <c r="GR13" s="223">
        <f>IF($GK13=Creation!$Q$33,1,0)</f>
        <v>0</v>
      </c>
    </row>
    <row r="14" spans="1:200" ht="15.75" thickBot="1" x14ac:dyDescent="0.3">
      <c r="A14" s="679" t="s">
        <v>21</v>
      </c>
      <c r="B14" s="434"/>
      <c r="C14" s="434"/>
      <c r="D14" s="434"/>
      <c r="E14" s="150">
        <v>1</v>
      </c>
      <c r="F14" s="150">
        <f>IF(Creation!$E$33+Creation!$I$33&gt;E$5,1,0)</f>
        <v>0</v>
      </c>
      <c r="G14" s="150">
        <f>IF(Creation!$E$33+Creation!$I$33&gt;F$5,1,0)</f>
        <v>0</v>
      </c>
      <c r="H14" s="150">
        <f>IF(Creation!$E$33+Creation!$I$33&gt;G$5,1,0)</f>
        <v>0</v>
      </c>
      <c r="I14" s="150">
        <f>IF(Creation!$E$33+Creation!$I$33&gt;H$5,1,0)</f>
        <v>0</v>
      </c>
      <c r="J14" s="150">
        <f>IF(Creation!$E$33+Creation!$I$33&gt;I$5,1,0)</f>
        <v>0</v>
      </c>
      <c r="K14" s="150">
        <f>IF(Creation!$E$33+Creation!$I$33&gt;J$5,1,0)</f>
        <v>0</v>
      </c>
      <c r="L14" s="150">
        <f>IF(Creation!$E$33+Creation!$I$33&gt;K$5,1,0)</f>
        <v>0</v>
      </c>
      <c r="M14" s="150">
        <f>IF(Creation!$E$33+Creation!$I$33&gt;L$5,1,0)</f>
        <v>0</v>
      </c>
      <c r="N14" s="150">
        <f>IF(Creation!$E$33+Creation!$I$33&gt;M$5,1,0)</f>
        <v>0</v>
      </c>
      <c r="O14" s="160">
        <f>IF(Creation!$E$33+Creation!$I$33&gt;N$5,1,0)</f>
        <v>0</v>
      </c>
      <c r="P14" s="677" t="s">
        <v>40</v>
      </c>
      <c r="Q14" s="356"/>
      <c r="R14" s="356"/>
      <c r="S14" s="356"/>
      <c r="T14" s="146">
        <f>IF(Creation!AC9+Creation!AF9&gt;0,1,0)</f>
        <v>0</v>
      </c>
      <c r="U14" s="146">
        <f>IF(Creation!AC9+Creation!AF9&gt;1,1,0)</f>
        <v>0</v>
      </c>
      <c r="V14" s="146">
        <f>IF(Creation!AC9+Creation!AF9&gt;2,1,0)</f>
        <v>0</v>
      </c>
      <c r="W14" s="146">
        <f>IF(Creation!AC9+Creation!AF9&gt;3,1,0)</f>
        <v>0</v>
      </c>
      <c r="X14" s="147">
        <f>IF(Creation!AC9+Creation!AF9&gt;4,1,0)</f>
        <v>0</v>
      </c>
      <c r="Y14" s="679" t="s">
        <v>21</v>
      </c>
      <c r="Z14" s="434"/>
      <c r="AA14" s="434"/>
      <c r="AB14" s="474"/>
      <c r="AC14" s="220"/>
      <c r="AD14" s="243"/>
      <c r="AE14" s="243"/>
      <c r="AF14" s="243"/>
      <c r="AG14" s="243"/>
      <c r="AH14" s="243"/>
      <c r="AI14" s="243"/>
      <c r="AJ14" s="243"/>
      <c r="AK14" s="243"/>
      <c r="AL14" s="243"/>
      <c r="AM14" s="244"/>
      <c r="AN14" s="677" t="s">
        <v>40</v>
      </c>
      <c r="AO14" s="356"/>
      <c r="AP14" s="356"/>
      <c r="AQ14" s="401"/>
      <c r="AR14" s="239"/>
      <c r="AS14" s="240"/>
      <c r="AT14" s="240"/>
      <c r="AU14" s="240"/>
      <c r="AV14" s="241"/>
      <c r="AW14" s="457" t="s">
        <v>21</v>
      </c>
      <c r="AX14" s="434"/>
      <c r="AY14" s="434"/>
      <c r="AZ14" s="474"/>
      <c r="BA14" s="132"/>
      <c r="BB14" s="243"/>
      <c r="BC14" s="243"/>
      <c r="BD14" s="243"/>
      <c r="BE14" s="243"/>
      <c r="BF14" s="243"/>
      <c r="BG14" s="243"/>
      <c r="BH14" s="243"/>
      <c r="BI14" s="243"/>
      <c r="BJ14" s="243"/>
      <c r="BK14" s="244"/>
      <c r="BL14" s="677" t="s">
        <v>40</v>
      </c>
      <c r="BM14" s="356"/>
      <c r="BN14" s="356"/>
      <c r="BO14" s="401"/>
      <c r="BP14" s="250"/>
      <c r="BQ14" s="240"/>
      <c r="BR14" s="240"/>
      <c r="BS14" s="240"/>
      <c r="BT14" s="241"/>
      <c r="BU14" s="691" t="s">
        <v>21</v>
      </c>
      <c r="BV14" s="620"/>
      <c r="BW14" s="620"/>
      <c r="BX14" s="620"/>
      <c r="BY14" s="177">
        <v>0</v>
      </c>
      <c r="BZ14" s="146">
        <f>IF(SUM($BY14:BY14)=SUM(DemigodConversion!$G33:$L33),0,IF(AND(F14=0,AD14=0,BB14=0,DemigodConversion!$E33+DemigodConversion!$G33+DemigodConversion!$I33&gt;BY$5),1,0))</f>
        <v>0</v>
      </c>
      <c r="CA14" s="146">
        <f>IF(SUM($BY14:BZ14)=SUM(DemigodConversion!$G33:$L33),0,IF(AND(G14=0,AE14=0,BC14=0,DemigodConversion!$E33+DemigodConversion!$G33+DemigodConversion!$I33&gt;BZ$5),1,0))</f>
        <v>0</v>
      </c>
      <c r="CB14" s="146">
        <f>IF(SUM($BY14:CA14)=SUM(DemigodConversion!$G33:$L33),0,IF(AND(H14=0,AF14=0,BD14=0,DemigodConversion!$E33+DemigodConversion!$G33+DemigodConversion!$I33&gt;CA$5),1,0))</f>
        <v>0</v>
      </c>
      <c r="CC14" s="146">
        <f>IF(SUM($BY14:CB14)=SUM(DemigodConversion!$G33:$L33),0,IF(AND(I14=0,AG14=0,BE14=0,DemigodConversion!$E33+DemigodConversion!$G33+DemigodConversion!$I33&gt;CB$5),1,0))</f>
        <v>0</v>
      </c>
      <c r="CD14" s="146">
        <f>IF(SUM($BY14:CC14)=SUM(DemigodConversion!$G33:$L33),0,IF(AND(J14=0,AH14=0,BF14=0,DemigodConversion!$E33+DemigodConversion!$G33+DemigodConversion!$I33&gt;CC$5),1,0))</f>
        <v>0</v>
      </c>
      <c r="CE14" s="146">
        <f>IF(SUM($BY14:CD14)=SUM(DemigodConversion!$G33:$L33),0,IF(AND(K14=0,AI14=0,BG14=0,DemigodConversion!$E33+DemigodConversion!$G33+DemigodConversion!$I33&gt;CD$5),1,0))</f>
        <v>0</v>
      </c>
      <c r="CF14" s="146">
        <f>IF(SUM($BY14:CE14)=SUM(DemigodConversion!$G33:$L33),0,IF(AND(L14=0,AJ14=0,BH14=0,DemigodConversion!$E33+DemigodConversion!$G33+DemigodConversion!$I33&gt;CE$5),1,0))</f>
        <v>0</v>
      </c>
      <c r="CG14" s="146">
        <f>IF(SUM($BY14:CF14)=SUM(DemigodConversion!$G33:$L33),0,IF(AND(M14=0,AK14=0,BI14=0,DemigodConversion!$E33+DemigodConversion!$G33+DemigodConversion!$I33&gt;CF$5),1,0))</f>
        <v>0</v>
      </c>
      <c r="CH14" s="146">
        <f>IF(SUM($BY14:CG14)=SUM(DemigodConversion!$G33:$L33),0,IF(AND(N14=0,AL14=0,BJ14=0,DemigodConversion!$E33+DemigodConversion!$G33+DemigodConversion!$I33&gt;CG$5),1,0))</f>
        <v>0</v>
      </c>
      <c r="CI14" s="147">
        <f>IF(SUM($BY14:CH14)=SUM(DemigodConversion!$G33:$L33),0,IF(AND(O14=0,AM14=0,BK14=0,DemigodConversion!$E33+DemigodConversion!$G33+DemigodConversion!$I33&gt;CH$5),1,0))</f>
        <v>0</v>
      </c>
      <c r="CJ14" s="677" t="s">
        <v>40</v>
      </c>
      <c r="CK14" s="356"/>
      <c r="CL14" s="356"/>
      <c r="CM14" s="356"/>
      <c r="CN14" s="229">
        <f>IF(AND(T14=0,AR14=0,BP14=0,FB12=0,FK12=0,FT12=0,GC12=0,ES12=0,DemigodConversion!$AC9+DemigodConversion!$AF9&gt;0),1,0)</f>
        <v>0</v>
      </c>
      <c r="CO14" s="271">
        <f>IF(AND(U14=0,AS14=0,BQ14=0,FC12=0,FL12=0,FU12=0,GD12=0,ET12=0,DemigodConversion!$AC9+DemigodConversion!$AF9&gt;1),1,0)</f>
        <v>0</v>
      </c>
      <c r="CP14" s="271">
        <f>IF(AND(V14=0,AT14=0,BR14=0,FD12=0,FM12=0,FV12=0,GE12=0,EU12=0,DemigodConversion!$AC9+DemigodConversion!$AF9&gt;2),1,0)</f>
        <v>0</v>
      </c>
      <c r="CQ14" s="271">
        <f>IF(AND(W14=0,AU14=0,BS14=0,FE12=0,FN12=0,FW12=0,GF12=0,EV12=0,DemigodConversion!$AC9+DemigodConversion!$AF9&gt;3),1,0)</f>
        <v>0</v>
      </c>
      <c r="CR14" s="271">
        <f>IF(AND(X14=0,AV14=0,BT14=0,FF12=0,FO12=0,FX12=0,GG12=0,EW12=0,DemigodConversion!$AC9+DemigodConversion!$AF9&gt;4),1,0)</f>
        <v>0</v>
      </c>
      <c r="CS14" s="691" t="s">
        <v>21</v>
      </c>
      <c r="CT14" s="620"/>
      <c r="CU14" s="620"/>
      <c r="CV14" s="620"/>
      <c r="CW14" s="177">
        <v>0</v>
      </c>
      <c r="CX14" s="146">
        <f>IF(AND(F14=0,AD14=0,BB14=0,BZ14=0,CW$5&lt;SUM(GodConversion!$E33:$L33)),1,0)</f>
        <v>0</v>
      </c>
      <c r="CY14" s="146">
        <f>IF(AND(G14=0,AE14=0,BC14=0,CA14=0,CX$5&lt;SUM(GodConversion!$E33:$L33)),1,0)</f>
        <v>0</v>
      </c>
      <c r="CZ14" s="146">
        <f>IF(AND(H14=0,AF14=0,BD14=0,CB14=0,CY$5&lt;SUM(GodConversion!$E33:$L33)),1,0)</f>
        <v>0</v>
      </c>
      <c r="DA14" s="146">
        <f>IF(AND(I14=0,AG14=0,BE14=0,CC14=0,CZ$5&lt;SUM(GodConversion!$E33:$L33)),1,0)</f>
        <v>0</v>
      </c>
      <c r="DB14" s="146">
        <f>IF(AND(J14=0,AH14=0,BF14=0,CD14=0,DA$5&lt;SUM(GodConversion!$E33:$L33)),1,0)</f>
        <v>0</v>
      </c>
      <c r="DC14" s="146">
        <f>IF(AND(K14=0,AI14=0,BG14=0,CE14=0,DB$5&lt;SUM(GodConversion!$E33:$L33)),1,0)</f>
        <v>0</v>
      </c>
      <c r="DD14" s="146">
        <f>IF(AND(L14=0,AJ14=0,BH14=0,CF14=0,DC$5&lt;SUM(GodConversion!$E33:$L33)),1,0)</f>
        <v>0</v>
      </c>
      <c r="DE14" s="146">
        <f>IF(AND(M14=0,AK14=0,BI14=0,CG14=0,DD$5&lt;SUM(GodConversion!$E33:$L33)),1,0)</f>
        <v>0</v>
      </c>
      <c r="DF14" s="146">
        <f>IF(AND(N14=0,AL14=0,BJ14=0,CH14=0,DE$5&lt;SUM(GodConversion!$E33:$L33)),1,0)</f>
        <v>0</v>
      </c>
      <c r="DG14" s="146">
        <f>IF(AND(O14=0,AM14=0,BK14=0,CI14=0,DF$5&lt;SUM(GodConversion!$E33:$L33)),1,0)</f>
        <v>0</v>
      </c>
      <c r="DH14" s="677" t="s">
        <v>40</v>
      </c>
      <c r="DI14" s="356"/>
      <c r="DJ14" s="356"/>
      <c r="DK14" s="356"/>
      <c r="DL14" s="229">
        <f>IF(AND(T14=0,AR14=0,BP14=0,ES12=0,FB12=0,FK12=0,FT12=0,GC12=0,CN14=0,0&lt;GodConversion!$AC9+GodConversion!$AF9),1,0)</f>
        <v>0</v>
      </c>
      <c r="DM14" s="271">
        <f>IF(AND(U14=0,AS14=0,BQ14=0,ET12=0,FC12=0,FL12=0,FU12=0,GD12=0,CO14=0,1&lt;GodConversion!$AC9+GodConversion!$AF9),1,0)</f>
        <v>0</v>
      </c>
      <c r="DN14" s="271">
        <f>IF(AND(V14=0,AT14=0,BR14=0,EU12=0,FD12=0,FM12=0,FV12=0,GE12=0,CP14=0,2&lt;GodConversion!$AC9+GodConversion!$AF9),1,0)</f>
        <v>0</v>
      </c>
      <c r="DO14" s="271">
        <f>IF(AND(W14=0,AU14=0,BS14=0,EV12=0,FE12=0,FN12=0,FW12=0,GF12=0,CQ14=0,3&lt;GodConversion!$AC9+GodConversion!$AF9),1,0)</f>
        <v>0</v>
      </c>
      <c r="DP14" s="271">
        <f>IF(AND(X14=0,AV14=0,BT14=0,EW12=0,FF12=0,FO12=0,FX12=0,GG12=0,CR14=0,4&lt;GodConversion!$AC9+GodConversion!$AF9),1,0)</f>
        <v>0</v>
      </c>
      <c r="DQ14" s="679" t="s">
        <v>21</v>
      </c>
      <c r="DR14" s="434"/>
      <c r="DS14" s="434"/>
      <c r="DT14" s="434"/>
      <c r="DU14" s="150">
        <v>0</v>
      </c>
      <c r="DV14" s="150">
        <f t="shared" ref="DV14:EE14" si="19">IF(AD14=1,DU$5*4,0)</f>
        <v>0</v>
      </c>
      <c r="DW14" s="150">
        <f t="shared" si="19"/>
        <v>0</v>
      </c>
      <c r="DX14" s="150">
        <f t="shared" si="19"/>
        <v>0</v>
      </c>
      <c r="DY14" s="150">
        <f t="shared" si="19"/>
        <v>0</v>
      </c>
      <c r="DZ14" s="150">
        <f t="shared" si="19"/>
        <v>0</v>
      </c>
      <c r="EA14" s="150">
        <f t="shared" si="19"/>
        <v>0</v>
      </c>
      <c r="EB14" s="150">
        <f t="shared" si="19"/>
        <v>0</v>
      </c>
      <c r="EC14" s="150">
        <f t="shared" si="19"/>
        <v>0</v>
      </c>
      <c r="ED14" s="150">
        <f t="shared" si="19"/>
        <v>0</v>
      </c>
      <c r="EE14" s="160">
        <f t="shared" si="19"/>
        <v>0</v>
      </c>
      <c r="EF14" s="677" t="s">
        <v>40</v>
      </c>
      <c r="EG14" s="356"/>
      <c r="EH14" s="356"/>
      <c r="EI14" s="356"/>
      <c r="EJ14" s="210">
        <f t="shared" si="11"/>
        <v>0</v>
      </c>
      <c r="EK14" s="210">
        <f t="shared" si="12"/>
        <v>0</v>
      </c>
      <c r="EL14" s="210">
        <f t="shared" si="13"/>
        <v>0</v>
      </c>
      <c r="EM14" s="210">
        <f t="shared" si="14"/>
        <v>0</v>
      </c>
      <c r="EN14" s="210">
        <f t="shared" si="15"/>
        <v>0</v>
      </c>
      <c r="EO14" s="702" t="s">
        <v>42</v>
      </c>
      <c r="EP14" s="703"/>
      <c r="EQ14" s="703"/>
      <c r="ER14" s="704"/>
      <c r="ES14" s="248"/>
      <c r="ET14" s="249"/>
      <c r="EU14" s="240"/>
      <c r="EV14" s="240"/>
      <c r="EW14" s="240"/>
      <c r="EX14" s="711" t="s">
        <v>42</v>
      </c>
      <c r="EY14" s="712"/>
      <c r="EZ14" s="712"/>
      <c r="FA14" s="714"/>
      <c r="FB14" s="236"/>
      <c r="FC14" s="237"/>
      <c r="FD14" s="237"/>
      <c r="FE14" s="237"/>
      <c r="FF14" s="238"/>
      <c r="FG14" s="721" t="s">
        <v>42</v>
      </c>
      <c r="FH14" s="712"/>
      <c r="FI14" s="712"/>
      <c r="FJ14" s="713"/>
      <c r="FK14" s="236"/>
      <c r="FL14" s="237"/>
      <c r="FM14" s="237"/>
      <c r="FN14" s="237"/>
      <c r="FO14" s="238"/>
      <c r="FP14" s="711" t="s">
        <v>42</v>
      </c>
      <c r="FQ14" s="712"/>
      <c r="FR14" s="712"/>
      <c r="FS14" s="713"/>
      <c r="FT14" s="236"/>
      <c r="FU14" s="237"/>
      <c r="FV14" s="237"/>
      <c r="FW14" s="237"/>
      <c r="FX14" s="238"/>
      <c r="FY14" s="711" t="s">
        <v>42</v>
      </c>
      <c r="FZ14" s="712"/>
      <c r="GA14" s="712"/>
      <c r="GB14" s="713"/>
      <c r="GC14" s="236"/>
      <c r="GD14" s="237"/>
      <c r="GE14" s="237"/>
      <c r="GF14" s="237"/>
      <c r="GG14" s="238"/>
      <c r="GK14" s="223" t="s">
        <v>42</v>
      </c>
      <c r="GL14" s="223">
        <f t="shared" si="8"/>
        <v>0</v>
      </c>
      <c r="GM14" s="223">
        <f>IF($GK14=Creation!$Q$28,1,0)</f>
        <v>0</v>
      </c>
      <c r="GN14" s="223">
        <f>IF($GK14=Creation!$Q$29,1,0)</f>
        <v>0</v>
      </c>
      <c r="GO14" s="223">
        <f>IF($GK14=Creation!$Q$30,1,0)</f>
        <v>0</v>
      </c>
      <c r="GP14" s="223">
        <f>IF($GK14=Creation!$Q$31,1,0)</f>
        <v>0</v>
      </c>
      <c r="GQ14" s="223">
        <f>IF($GK14=Creation!$Q$32,1,0)</f>
        <v>0</v>
      </c>
      <c r="GR14" s="223">
        <f>IF($GK14=Creation!$Q$33,1,0)</f>
        <v>0</v>
      </c>
    </row>
    <row r="15" spans="1:200" x14ac:dyDescent="0.25">
      <c r="A15" s="392" t="s">
        <v>66</v>
      </c>
      <c r="B15" s="391"/>
      <c r="C15" s="391"/>
      <c r="D15" s="391"/>
      <c r="E15" s="157">
        <v>1</v>
      </c>
      <c r="F15" s="157">
        <v>2</v>
      </c>
      <c r="G15" s="157">
        <v>3</v>
      </c>
      <c r="H15" s="6">
        <v>4</v>
      </c>
      <c r="I15" s="6">
        <v>5</v>
      </c>
      <c r="J15" s="6">
        <v>6</v>
      </c>
      <c r="K15" s="6">
        <v>7</v>
      </c>
      <c r="L15" s="6">
        <v>8</v>
      </c>
      <c r="M15" s="6">
        <v>9</v>
      </c>
      <c r="N15" s="6">
        <v>10</v>
      </c>
      <c r="O15" s="7">
        <v>11</v>
      </c>
      <c r="P15" s="677" t="s">
        <v>41</v>
      </c>
      <c r="Q15" s="356"/>
      <c r="R15" s="356"/>
      <c r="S15" s="356"/>
      <c r="T15" s="146">
        <f>IF(Creation!AC10+Creation!AF10&gt;0,1,0)</f>
        <v>0</v>
      </c>
      <c r="U15" s="146">
        <f>IF(Creation!AC10+Creation!AF10&gt;1,1,0)</f>
        <v>0</v>
      </c>
      <c r="V15" s="146">
        <f>IF(Creation!AC10+Creation!AF10&gt;2,1,0)</f>
        <v>0</v>
      </c>
      <c r="W15" s="146">
        <f>IF(Creation!AC10+Creation!AF10&gt;3,1,0)</f>
        <v>0</v>
      </c>
      <c r="X15" s="147">
        <f>IF(Creation!AC10+Creation!AF10&gt;4,1,0)</f>
        <v>0</v>
      </c>
      <c r="Y15" s="392" t="s">
        <v>66</v>
      </c>
      <c r="Z15" s="391"/>
      <c r="AA15" s="391"/>
      <c r="AB15" s="409"/>
      <c r="AC15" s="196">
        <v>1</v>
      </c>
      <c r="AD15" s="197">
        <v>2</v>
      </c>
      <c r="AE15" s="197">
        <v>3</v>
      </c>
      <c r="AF15" s="207">
        <v>4</v>
      </c>
      <c r="AG15" s="207">
        <v>5</v>
      </c>
      <c r="AH15" s="207">
        <v>6</v>
      </c>
      <c r="AI15" s="207">
        <v>7</v>
      </c>
      <c r="AJ15" s="207">
        <v>8</v>
      </c>
      <c r="AK15" s="207">
        <v>9</v>
      </c>
      <c r="AL15" s="207">
        <v>10</v>
      </c>
      <c r="AM15" s="209">
        <v>11</v>
      </c>
      <c r="AN15" s="677" t="s">
        <v>41</v>
      </c>
      <c r="AO15" s="356"/>
      <c r="AP15" s="356"/>
      <c r="AQ15" s="401"/>
      <c r="AR15" s="239"/>
      <c r="AS15" s="240"/>
      <c r="AT15" s="240"/>
      <c r="AU15" s="240"/>
      <c r="AV15" s="241"/>
      <c r="AW15" s="390" t="s">
        <v>66</v>
      </c>
      <c r="AX15" s="391"/>
      <c r="AY15" s="391"/>
      <c r="AZ15" s="409"/>
      <c r="BA15" s="164">
        <v>1</v>
      </c>
      <c r="BB15" s="144">
        <v>2</v>
      </c>
      <c r="BC15" s="144">
        <v>3</v>
      </c>
      <c r="BD15" s="156">
        <v>4</v>
      </c>
      <c r="BE15" s="156">
        <v>5</v>
      </c>
      <c r="BF15" s="156">
        <v>6</v>
      </c>
      <c r="BG15" s="156">
        <v>7</v>
      </c>
      <c r="BH15" s="156">
        <v>8</v>
      </c>
      <c r="BI15" s="156">
        <v>9</v>
      </c>
      <c r="BJ15" s="156">
        <v>10</v>
      </c>
      <c r="BK15" s="182">
        <v>11</v>
      </c>
      <c r="BL15" s="677" t="s">
        <v>41</v>
      </c>
      <c r="BM15" s="356"/>
      <c r="BN15" s="356"/>
      <c r="BO15" s="401"/>
      <c r="BP15" s="250"/>
      <c r="BQ15" s="240"/>
      <c r="BR15" s="240"/>
      <c r="BS15" s="240"/>
      <c r="BT15" s="241"/>
      <c r="BU15" s="390" t="s">
        <v>66</v>
      </c>
      <c r="BV15" s="391"/>
      <c r="BW15" s="391"/>
      <c r="BX15" s="391"/>
      <c r="BY15" s="157">
        <v>1</v>
      </c>
      <c r="BZ15" s="157">
        <v>2</v>
      </c>
      <c r="CA15" s="157">
        <v>3</v>
      </c>
      <c r="CB15" s="6">
        <v>4</v>
      </c>
      <c r="CC15" s="6">
        <v>5</v>
      </c>
      <c r="CD15" s="6">
        <v>6</v>
      </c>
      <c r="CE15" s="6">
        <v>7</v>
      </c>
      <c r="CF15" s="6">
        <v>8</v>
      </c>
      <c r="CG15" s="6">
        <v>9</v>
      </c>
      <c r="CH15" s="6">
        <v>10</v>
      </c>
      <c r="CI15" s="51">
        <v>11</v>
      </c>
      <c r="CJ15" s="677" t="s">
        <v>41</v>
      </c>
      <c r="CK15" s="356"/>
      <c r="CL15" s="356"/>
      <c r="CM15" s="356"/>
      <c r="CN15" s="229">
        <f>IF(AND(T15=0,AR15=0,BP15=0,FB13=0,FK13=0,FT13=0,GC13=0,ES13=0,DemigodConversion!$AC10+DemigodConversion!$AF10&gt;0),1,0)</f>
        <v>0</v>
      </c>
      <c r="CO15" s="271">
        <f>IF(AND(U15=0,AS15=0,BQ15=0,FC13=0,FL13=0,FU13=0,GD13=0,ET13=0,DemigodConversion!$AC10+DemigodConversion!$AF10&gt;1),1,0)</f>
        <v>0</v>
      </c>
      <c r="CP15" s="271">
        <f>IF(AND(V15=0,AT15=0,BR15=0,FD13=0,FM13=0,FV13=0,GE13=0,EU13=0,DemigodConversion!$AC10+DemigodConversion!$AF10&gt;2),1,0)</f>
        <v>0</v>
      </c>
      <c r="CQ15" s="271">
        <f>IF(AND(W15=0,AU15=0,BS15=0,FE13=0,FN13=0,FW13=0,GF13=0,EV13=0,DemigodConversion!$AC10+DemigodConversion!$AF10&gt;3),1,0)</f>
        <v>0</v>
      </c>
      <c r="CR15" s="271">
        <f>IF(AND(X15=0,AV15=0,BT15=0,FF13=0,FO13=0,FX13=0,GG13=0,EW13=0,DemigodConversion!$AC10+DemigodConversion!$AF10&gt;4),1,0)</f>
        <v>0</v>
      </c>
      <c r="CS15" s="390" t="s">
        <v>66</v>
      </c>
      <c r="CT15" s="391"/>
      <c r="CU15" s="391"/>
      <c r="CV15" s="391"/>
      <c r="CW15" s="157">
        <v>1</v>
      </c>
      <c r="CX15" s="157">
        <v>2</v>
      </c>
      <c r="CY15" s="157">
        <v>3</v>
      </c>
      <c r="CZ15" s="6">
        <v>4</v>
      </c>
      <c r="DA15" s="6">
        <v>5</v>
      </c>
      <c r="DB15" s="6">
        <v>6</v>
      </c>
      <c r="DC15" s="6">
        <v>7</v>
      </c>
      <c r="DD15" s="6">
        <v>8</v>
      </c>
      <c r="DE15" s="6">
        <v>9</v>
      </c>
      <c r="DF15" s="6">
        <v>10</v>
      </c>
      <c r="DG15" s="7">
        <v>11</v>
      </c>
      <c r="DH15" s="690" t="s">
        <v>41</v>
      </c>
      <c r="DI15" s="356"/>
      <c r="DJ15" s="356"/>
      <c r="DK15" s="356"/>
      <c r="DL15" s="229">
        <f>IF(AND(T15=0,AR15=0,BP15=0,ES13=0,FB13=0,FK13=0,FT13=0,GC13=0,CN15=0,0&lt;GodConversion!$AC10+GodConversion!$AF10),1,0)</f>
        <v>0</v>
      </c>
      <c r="DM15" s="271">
        <f>IF(AND(U15=0,AS15=0,BQ15=0,ET13=0,FC13=0,FL13=0,FU13=0,GD13=0,CO15=0,1&lt;GodConversion!$AC10+GodConversion!$AF10),1,0)</f>
        <v>0</v>
      </c>
      <c r="DN15" s="271">
        <f>IF(AND(V15=0,AT15=0,BR15=0,EU13=0,FD13=0,FM13=0,FV13=0,GE13=0,CP15=0,2&lt;GodConversion!$AC10+GodConversion!$AF10),1,0)</f>
        <v>0</v>
      </c>
      <c r="DO15" s="271">
        <f>IF(AND(W15=0,AU15=0,BS15=0,EV13=0,FE13=0,FN13=0,FW13=0,GF13=0,CQ15=0,3&lt;GodConversion!$AC10+GodConversion!$AF10),1,0)</f>
        <v>0</v>
      </c>
      <c r="DP15" s="271">
        <f>IF(AND(X15=0,AV15=0,BT15=0,EW13=0,FF13=0,FO13=0,FX13=0,GG13=0,CR15=0,4&lt;GodConversion!$AC10+GodConversion!$AF10),1,0)</f>
        <v>0</v>
      </c>
      <c r="DQ15" s="392" t="s">
        <v>66</v>
      </c>
      <c r="DR15" s="391"/>
      <c r="DS15" s="391"/>
      <c r="DT15" s="391"/>
      <c r="DU15" s="157">
        <v>1</v>
      </c>
      <c r="DV15" s="157">
        <v>2</v>
      </c>
      <c r="DW15" s="157">
        <v>3</v>
      </c>
      <c r="DX15" s="6">
        <v>4</v>
      </c>
      <c r="DY15" s="6">
        <v>5</v>
      </c>
      <c r="DZ15" s="6">
        <v>6</v>
      </c>
      <c r="EA15" s="6">
        <v>7</v>
      </c>
      <c r="EB15" s="6">
        <v>8</v>
      </c>
      <c r="EC15" s="6">
        <v>9</v>
      </c>
      <c r="ED15" s="6">
        <v>10</v>
      </c>
      <c r="EE15" s="7">
        <v>11</v>
      </c>
      <c r="EF15" s="677" t="s">
        <v>41</v>
      </c>
      <c r="EG15" s="356"/>
      <c r="EH15" s="356"/>
      <c r="EI15" s="356"/>
      <c r="EJ15" s="210">
        <f t="shared" si="11"/>
        <v>0</v>
      </c>
      <c r="EK15" s="210">
        <f t="shared" si="12"/>
        <v>0</v>
      </c>
      <c r="EL15" s="210">
        <f t="shared" si="13"/>
        <v>0</v>
      </c>
      <c r="EM15" s="210">
        <f t="shared" si="14"/>
        <v>0</v>
      </c>
      <c r="EN15" s="210">
        <f t="shared" si="15"/>
        <v>0</v>
      </c>
      <c r="EO15" s="702" t="s">
        <v>43</v>
      </c>
      <c r="EP15" s="703"/>
      <c r="EQ15" s="703"/>
      <c r="ER15" s="704"/>
      <c r="ES15" s="248"/>
      <c r="ET15" s="249"/>
      <c r="EU15" s="240"/>
      <c r="EV15" s="240"/>
      <c r="EW15" s="240"/>
      <c r="EX15" s="711" t="s">
        <v>43</v>
      </c>
      <c r="EY15" s="712"/>
      <c r="EZ15" s="712"/>
      <c r="FA15" s="714"/>
      <c r="FB15" s="236"/>
      <c r="FC15" s="237"/>
      <c r="FD15" s="237"/>
      <c r="FE15" s="237"/>
      <c r="FF15" s="238"/>
      <c r="FG15" s="721" t="s">
        <v>43</v>
      </c>
      <c r="FH15" s="712"/>
      <c r="FI15" s="712"/>
      <c r="FJ15" s="713"/>
      <c r="FK15" s="236"/>
      <c r="FL15" s="237"/>
      <c r="FM15" s="237"/>
      <c r="FN15" s="237"/>
      <c r="FO15" s="238"/>
      <c r="FP15" s="711" t="s">
        <v>43</v>
      </c>
      <c r="FQ15" s="712"/>
      <c r="FR15" s="712"/>
      <c r="FS15" s="713"/>
      <c r="FT15" s="236"/>
      <c r="FU15" s="237"/>
      <c r="FV15" s="237"/>
      <c r="FW15" s="237"/>
      <c r="FX15" s="238"/>
      <c r="FY15" s="711" t="s">
        <v>43</v>
      </c>
      <c r="FZ15" s="712"/>
      <c r="GA15" s="712"/>
      <c r="GB15" s="713"/>
      <c r="GC15" s="236"/>
      <c r="GD15" s="237"/>
      <c r="GE15" s="237"/>
      <c r="GF15" s="237"/>
      <c r="GG15" s="238"/>
      <c r="GK15" s="223" t="s">
        <v>43</v>
      </c>
      <c r="GL15" s="223">
        <f t="shared" si="8"/>
        <v>0</v>
      </c>
      <c r="GM15" s="223">
        <f>IF($GK15=Creation!$Q$28,1,0)</f>
        <v>0</v>
      </c>
      <c r="GN15" s="223">
        <f>IF($GK15=Creation!$Q$29,1,0)</f>
        <v>0</v>
      </c>
      <c r="GO15" s="223">
        <f>IF($GK15=Creation!$Q$30,1,0)</f>
        <v>0</v>
      </c>
      <c r="GP15" s="223">
        <f>IF($GK15=Creation!$Q$31,1,0)</f>
        <v>0</v>
      </c>
      <c r="GQ15" s="223">
        <f>IF($GK15=Creation!$Q$32,1,0)</f>
        <v>0</v>
      </c>
      <c r="GR15" s="223">
        <f>IF($GK15=Creation!$Q$33,1,0)</f>
        <v>0</v>
      </c>
    </row>
    <row r="16" spans="1:200" x14ac:dyDescent="0.25">
      <c r="A16" s="677" t="s">
        <v>30</v>
      </c>
      <c r="B16" s="356"/>
      <c r="C16" s="356"/>
      <c r="D16" s="356"/>
      <c r="E16" s="146">
        <f>IF(Creation!BO4+Creation!BQ4&gt;0,1,0)</f>
        <v>0</v>
      </c>
      <c r="F16" s="146">
        <f>IF(Creation!BO4+Creation!BQ4&gt;1,1,0)</f>
        <v>0</v>
      </c>
      <c r="G16" s="146">
        <f>IF(Creation!BO4+Creation!BQ4&gt;2,1,0)</f>
        <v>0</v>
      </c>
      <c r="H16" s="146">
        <f>IF(Creation!BO4+Creation!BQ4&gt;3,1,0)</f>
        <v>0</v>
      </c>
      <c r="I16" s="146">
        <f>IF(Creation!BO4+Creation!BQ4&gt;4,1,0)</f>
        <v>0</v>
      </c>
      <c r="J16" s="146">
        <f>IF(Creation!BO4+Creation!BQ4&gt;5,1,0)</f>
        <v>0</v>
      </c>
      <c r="K16" s="146">
        <f>IF(Creation!BO4+Creation!BQ4&gt;6,1,0)</f>
        <v>0</v>
      </c>
      <c r="L16" s="146">
        <f>IF(Creation!BO4+Creation!BQ4&gt;7,1,0)</f>
        <v>0</v>
      </c>
      <c r="M16" s="146">
        <f>IF(Creation!BO4+Creation!BQ4&gt;8,1,0)</f>
        <v>0</v>
      </c>
      <c r="N16" s="146">
        <f>IF(Creation!BO4+Creation!BQ4&gt;9,1,0)</f>
        <v>0</v>
      </c>
      <c r="O16" s="149">
        <f>IF(Creation!BO4+Creation!BQ4&gt;10,1,0)</f>
        <v>0</v>
      </c>
      <c r="P16" s="677" t="s">
        <v>42</v>
      </c>
      <c r="Q16" s="356"/>
      <c r="R16" s="356"/>
      <c r="S16" s="356"/>
      <c r="T16" s="146">
        <f>IF(Creation!AC11+Creation!AF11&gt;0,1,0)</f>
        <v>0</v>
      </c>
      <c r="U16" s="146">
        <f>IF(Creation!AC11+Creation!AF11&gt;1,1,0)</f>
        <v>0</v>
      </c>
      <c r="V16" s="146">
        <f>IF(Creation!AC11+Creation!AF11&gt;2,1,0)</f>
        <v>0</v>
      </c>
      <c r="W16" s="146">
        <f>IF(Creation!AC11+Creation!AF11&gt;3,1,0)</f>
        <v>0</v>
      </c>
      <c r="X16" s="147">
        <f>IF(Creation!AC11+Creation!AF11&gt;4,1,0)</f>
        <v>0</v>
      </c>
      <c r="Y16" s="677" t="s">
        <v>30</v>
      </c>
      <c r="Z16" s="356"/>
      <c r="AA16" s="356"/>
      <c r="AB16" s="401"/>
      <c r="AC16" s="239"/>
      <c r="AD16" s="240"/>
      <c r="AE16" s="240"/>
      <c r="AF16" s="240"/>
      <c r="AG16" s="240"/>
      <c r="AH16" s="240"/>
      <c r="AI16" s="240"/>
      <c r="AJ16" s="240"/>
      <c r="AK16" s="240"/>
      <c r="AL16" s="240"/>
      <c r="AM16" s="241"/>
      <c r="AN16" s="677" t="s">
        <v>42</v>
      </c>
      <c r="AO16" s="356"/>
      <c r="AP16" s="356"/>
      <c r="AQ16" s="401"/>
      <c r="AR16" s="239"/>
      <c r="AS16" s="240"/>
      <c r="AT16" s="240"/>
      <c r="AU16" s="240"/>
      <c r="AV16" s="241"/>
      <c r="AW16" s="690" t="s">
        <v>30</v>
      </c>
      <c r="AX16" s="356"/>
      <c r="AY16" s="356"/>
      <c r="AZ16" s="401"/>
      <c r="BA16" s="250"/>
      <c r="BB16" s="240"/>
      <c r="BC16" s="240"/>
      <c r="BD16" s="240"/>
      <c r="BE16" s="240"/>
      <c r="BF16" s="240"/>
      <c r="BG16" s="240"/>
      <c r="BH16" s="240"/>
      <c r="BI16" s="240"/>
      <c r="BJ16" s="240"/>
      <c r="BK16" s="241"/>
      <c r="BL16" s="677" t="s">
        <v>42</v>
      </c>
      <c r="BM16" s="356"/>
      <c r="BN16" s="356"/>
      <c r="BO16" s="401"/>
      <c r="BP16" s="250"/>
      <c r="BQ16" s="240"/>
      <c r="BR16" s="240"/>
      <c r="BS16" s="240"/>
      <c r="BT16" s="241"/>
      <c r="BU16" s="690" t="s">
        <v>30</v>
      </c>
      <c r="BV16" s="356"/>
      <c r="BW16" s="356"/>
      <c r="BX16" s="356"/>
      <c r="BY16" s="146">
        <f>IF(AND(E16=0,AC16=0,BA16=0,DemigodConversion!$BM4+DemigodConversion!$BO4+DemigodConversion!$BQ4&gt;0),1,0)</f>
        <v>0</v>
      </c>
      <c r="BZ16" s="146">
        <f>IF(SUM($BY16:BY16)=SUM(DemigodConversion!$BO4:$BR4),0,IF(AND(F16=0,AD16=0,BB16=0,DemigodConversion!$BM4+DemigodConversion!$BO4+DemigodConversion!$BQ4&gt;BY$15),1,0))</f>
        <v>0</v>
      </c>
      <c r="CA16" s="146">
        <f>IF(SUM($BY16:BZ16)=SUM(DemigodConversion!$BO4:$BR4),0,IF(AND(G16=0,AE16=0,BC16=0,DemigodConversion!$BM4+DemigodConversion!$BO4+DemigodConversion!$BQ4&gt;BZ$15),1,0))</f>
        <v>0</v>
      </c>
      <c r="CB16" s="146">
        <f>IF(SUM($BY16:CA16)=SUM(DemigodConversion!$BO4:$BR4),0,IF(AND(H16=0,AF16=0,BD16=0,DemigodConversion!$BM4+DemigodConversion!$BO4+DemigodConversion!$BQ4&gt;CA$15),1,0))</f>
        <v>0</v>
      </c>
      <c r="CC16" s="146">
        <f>IF(SUM($BY16:CB16)=SUM(DemigodConversion!$BO4:$BR4),0,IF(AND(I16=0,AG16=0,BE16=0,DemigodConversion!$BM4+DemigodConversion!$BO4+DemigodConversion!$BQ4&gt;CB$15),1,0))</f>
        <v>0</v>
      </c>
      <c r="CD16" s="146">
        <f>IF(SUM($BY16:CC16)=SUM(DemigodConversion!$BO4:$BR4),0,IF(AND(J16=0,AH16=0,BF16=0,DemigodConversion!$BM4+DemigodConversion!$BO4+DemigodConversion!$BQ4&gt;CC$15),1,0))</f>
        <v>0</v>
      </c>
      <c r="CE16" s="146">
        <f>IF(SUM($BY16:CD16)=SUM(DemigodConversion!$BO4:$BR4),0,IF(AND(K16=0,AI16=0,BG16=0,DemigodConversion!$BM4+DemigodConversion!$BO4+DemigodConversion!$BQ4&gt;CD$15),1,0))</f>
        <v>0</v>
      </c>
      <c r="CF16" s="146">
        <f>IF(SUM($BY16:CE16)=SUM(DemigodConversion!$BO4:$BR4),0,IF(AND(L16=0,AJ16=0,BH16=0,DemigodConversion!$BM4+DemigodConversion!$BO4+DemigodConversion!$BQ4&gt;CE$15),1,0))</f>
        <v>0</v>
      </c>
      <c r="CG16" s="146">
        <f>IF(SUM($BY16:CF16)=SUM(DemigodConversion!$BO4:$BR4),0,IF(AND(M16=0,AK16=0,BI16=0,DemigodConversion!$BM4+DemigodConversion!$BO4+DemigodConversion!$BQ4&gt;CF$15),1,0))</f>
        <v>0</v>
      </c>
      <c r="CH16" s="146">
        <f>IF(SUM($BY16:CG16)=SUM(DemigodConversion!$BO4:$BR4),0,IF(AND(N16=0,AL16=0,BJ16=0,DemigodConversion!$BM4+DemigodConversion!$BO4+DemigodConversion!$BQ4&gt;CG$15),1,0))</f>
        <v>0</v>
      </c>
      <c r="CI16" s="147">
        <f>IF(SUM($BY16:CH16)=SUM(DemigodConversion!$BO4:$BR4),0,IF(AND(O16=0,AM16=0,BK16=0,DemigodConversion!$BM4+DemigodConversion!$BO4+DemigodConversion!$BQ4&gt;CH$15),1,0))</f>
        <v>0</v>
      </c>
      <c r="CJ16" s="677" t="s">
        <v>42</v>
      </c>
      <c r="CK16" s="356"/>
      <c r="CL16" s="356"/>
      <c r="CM16" s="356"/>
      <c r="CN16" s="229">
        <f>IF(AND(T16=0,AR16=0,BP16=0,FB14=0,FK14=0,FT14=0,GC14=0,ES14=0,DemigodConversion!$AC11+DemigodConversion!$AF11&gt;0),1,0)</f>
        <v>0</v>
      </c>
      <c r="CO16" s="271">
        <f>IF(AND(U16=0,AS16=0,BQ16=0,FC14=0,FL14=0,FU14=0,GD14=0,ET14=0,DemigodConversion!$AC11+DemigodConversion!$AF11&gt;1),1,0)</f>
        <v>0</v>
      </c>
      <c r="CP16" s="271">
        <f>IF(AND(V16=0,AT16=0,BR16=0,FD14=0,FM14=0,FV14=0,GE14=0,EU14=0,DemigodConversion!$AC11+DemigodConversion!$AF11&gt;2),1,0)</f>
        <v>0</v>
      </c>
      <c r="CQ16" s="271">
        <f>IF(AND(W16=0,AU16=0,BS16=0,FE14=0,FN14=0,FW14=0,GF14=0,EV14=0,DemigodConversion!$AC11+DemigodConversion!$AF11&gt;3),1,0)</f>
        <v>0</v>
      </c>
      <c r="CR16" s="271">
        <f>IF(AND(X16=0,AV16=0,BT16=0,FF14=0,FO14=0,FX14=0,GG14=0,EW14=0,DemigodConversion!$AC11+DemigodConversion!$AF11&gt;4),1,0)</f>
        <v>0</v>
      </c>
      <c r="CS16" s="690" t="s">
        <v>30</v>
      </c>
      <c r="CT16" s="356"/>
      <c r="CU16" s="356"/>
      <c r="CV16" s="356"/>
      <c r="CW16" s="146">
        <f>IF(AND(E16=0,AC16=0,BA16=0,BY16=0,0&lt;SUM(GodConversion!$BM4:$BR4)),1,0)</f>
        <v>0</v>
      </c>
      <c r="CX16" s="146">
        <f>IF(AND(F16=0,AD16=0,BB16=0,BZ16=0,CW$15&lt;SUM(GodConversion!$BM4:$BR4)),1,0)</f>
        <v>0</v>
      </c>
      <c r="CY16" s="146">
        <f>IF(AND(G16=0,AE16=0,BC16=0,CA16=0,CX$15&lt;SUM(GodConversion!$BM4:$BR4)),1,0)</f>
        <v>0</v>
      </c>
      <c r="CZ16" s="146">
        <f>IF(AND(H16=0,AF16=0,BD16=0,CB16=0,CY$15&lt;SUM(GodConversion!$BM4:$BR4)),1,0)</f>
        <v>0</v>
      </c>
      <c r="DA16" s="146">
        <f>IF(AND(I16=0,AG16=0,BE16=0,CC16=0,CZ$15&lt;SUM(GodConversion!$BM4:$BR4)),1,0)</f>
        <v>0</v>
      </c>
      <c r="DB16" s="146">
        <f>IF(AND(J16=0,AH16=0,BF16=0,CD16=0,DA$15&lt;SUM(GodConversion!$BM4:$BR4)),1,0)</f>
        <v>0</v>
      </c>
      <c r="DC16" s="146">
        <f>IF(AND(K16=0,AI16=0,BG16=0,CE16=0,DB$15&lt;SUM(GodConversion!$BM4:$BR4)),1,0)</f>
        <v>0</v>
      </c>
      <c r="DD16" s="146">
        <f>IF(AND(L16=0,AJ16=0,BH16=0,CF16=0,DC$15&lt;SUM(GodConversion!$BM4:$BR4)),1,0)</f>
        <v>0</v>
      </c>
      <c r="DE16" s="146">
        <f>IF(AND(M16=0,AK16=0,BI16=0,CG16=0,DD$15&lt;SUM(GodConversion!$BM4:$BR4)),1,0)</f>
        <v>0</v>
      </c>
      <c r="DF16" s="146">
        <f>IF(AND(N16=0,AL16=0,BJ16=0,CH16=0,DE$15&lt;SUM(GodConversion!$BM4:$BR4)),1,0)</f>
        <v>0</v>
      </c>
      <c r="DG16" s="149">
        <f>IF(AND(O16=0,AM16=0,BK16=0,CI16=0,DF$15&lt;SUM(GodConversion!$BM4:$BR4)),1,0)</f>
        <v>0</v>
      </c>
      <c r="DH16" s="690" t="s">
        <v>42</v>
      </c>
      <c r="DI16" s="356"/>
      <c r="DJ16" s="356"/>
      <c r="DK16" s="356"/>
      <c r="DL16" s="229">
        <f>IF(AND(T16=0,AR16=0,BP16=0,ES14=0,FB14=0,FK14=0,FT14=0,GC14=0,CN16=0,0&lt;GodConversion!$AC11+GodConversion!$AF11),1,0)</f>
        <v>0</v>
      </c>
      <c r="DM16" s="271">
        <f>IF(AND(U16=0,AS16=0,BQ16=0,ET14=0,FC14=0,FL14=0,FU14=0,GD14=0,CO16=0,1&lt;GodConversion!$AC11+GodConversion!$AF11),1,0)</f>
        <v>0</v>
      </c>
      <c r="DN16" s="271">
        <f>IF(AND(V16=0,AT16=0,BR16=0,EU14=0,FD14=0,FM14=0,FV14=0,GE14=0,CP16=0,2&lt;GodConversion!$AC11+GodConversion!$AF11),1,0)</f>
        <v>0</v>
      </c>
      <c r="DO16" s="271">
        <f>IF(AND(W16=0,AU16=0,BS16=0,EV14=0,FE14=0,FN14=0,FW14=0,GF14=0,CQ16=0,3&lt;GodConversion!$AC11+GodConversion!$AF11),1,0)</f>
        <v>0</v>
      </c>
      <c r="DP16" s="271">
        <f>IF(AND(X16=0,AV16=0,BT16=0,EW14=0,FF14=0,FO14=0,FX14=0,GG14=0,CR16=0,4&lt;GodConversion!$AC11+GodConversion!$AF11),1,0)</f>
        <v>0</v>
      </c>
      <c r="DQ16" s="677" t="s">
        <v>30</v>
      </c>
      <c r="DR16" s="356"/>
      <c r="DS16" s="356"/>
      <c r="DT16" s="356"/>
      <c r="DU16" s="146">
        <f>IF($AC16=1,IF(LOOKUP(CharacterSheet!$AK$7,AssociatedRef!$A$2:$A$130,AssociatedRef!$B$2:$B$130)="Yes",8,10),0)</f>
        <v>0</v>
      </c>
      <c r="DV16" s="146">
        <f>IF(AD16=1,IF(LOOKUP(CharacterSheet!$AK$7,AssociatedRef!$A$2:$A$130,AssociatedRef!$B$2:$B$130)="Yes",DU$15*4,DU$15*5),0)</f>
        <v>0</v>
      </c>
      <c r="DW16" s="146">
        <f>IF(AE16=1,IF(LOOKUP(CharacterSheet!$AK$7,AssociatedRef!$A$2:$A$130,AssociatedRef!$B$2:$B$130)="Yes",DV$15*4,DV$15*5),0)</f>
        <v>0</v>
      </c>
      <c r="DX16" s="146">
        <f>IF(AF16=1,IF(LOOKUP(CharacterSheet!$AK$7,AssociatedRef!$A$2:$A$130,AssociatedRef!$B$2:$B$130)="Yes",DW$15*4,DW$15*5),0)</f>
        <v>0</v>
      </c>
      <c r="DY16" s="146">
        <f>IF(AG16=1,IF(LOOKUP(CharacterSheet!$AK$7,AssociatedRef!$A$2:$A$130,AssociatedRef!$B$2:$B$130)="Yes",DX$15*4,DX$15*5),0)</f>
        <v>0</v>
      </c>
      <c r="DZ16" s="146">
        <f>IF(AH16=1,IF(LOOKUP(CharacterSheet!$AK$7,AssociatedRef!$A$2:$A$130,AssociatedRef!$B$2:$B$130)="Yes",DY$15*4,DY$15*5),0)</f>
        <v>0</v>
      </c>
      <c r="EA16" s="146">
        <f>IF(AI16=1,IF(LOOKUP(CharacterSheet!$AK$7,AssociatedRef!$A$2:$A$130,AssociatedRef!$B$2:$B$130)="Yes",DZ$15*4,DZ$15*5),0)</f>
        <v>0</v>
      </c>
      <c r="EB16" s="146">
        <f>IF(AJ16=1,IF(LOOKUP(CharacterSheet!$AK$7,AssociatedRef!$A$2:$A$130,AssociatedRef!$B$2:$B$130)="Yes",EA$15*4,EA$15*5),0)</f>
        <v>0</v>
      </c>
      <c r="EC16" s="146">
        <f>IF(AK16=1,IF(LOOKUP(CharacterSheet!$AK$7,AssociatedRef!$A$2:$A$130,AssociatedRef!$B$2:$B$130)="Yes",EB$15*4,EB$15*5),0)</f>
        <v>0</v>
      </c>
      <c r="ED16" s="146">
        <f>IF(AL16=1,IF(LOOKUP(CharacterSheet!$AK$7,AssociatedRef!$A$2:$A$130,AssociatedRef!$B$2:$B$130)="Yes",EC$15*4,EC$15*5),0)</f>
        <v>0</v>
      </c>
      <c r="EE16" s="149">
        <f>IF(AM16=1,IF(LOOKUP(CharacterSheet!$AK$7,AssociatedRef!$A$2:$A$130,AssociatedRef!$B$2:$B$130)="Yes",ED$15*4,ED$15*5),0)</f>
        <v>0</v>
      </c>
      <c r="EF16" s="677" t="s">
        <v>42</v>
      </c>
      <c r="EG16" s="356"/>
      <c r="EH16" s="356"/>
      <c r="EI16" s="356"/>
      <c r="EJ16" s="210">
        <f t="shared" si="11"/>
        <v>0</v>
      </c>
      <c r="EK16" s="210">
        <f t="shared" si="12"/>
        <v>0</v>
      </c>
      <c r="EL16" s="210">
        <f t="shared" si="13"/>
        <v>0</v>
      </c>
      <c r="EM16" s="210">
        <f t="shared" si="14"/>
        <v>0</v>
      </c>
      <c r="EN16" s="210">
        <f t="shared" si="15"/>
        <v>0</v>
      </c>
      <c r="EO16" s="702" t="s">
        <v>44</v>
      </c>
      <c r="EP16" s="703"/>
      <c r="EQ16" s="703"/>
      <c r="ER16" s="704"/>
      <c r="ES16" s="248"/>
      <c r="ET16" s="249"/>
      <c r="EU16" s="240"/>
      <c r="EV16" s="240"/>
      <c r="EW16" s="240"/>
      <c r="EX16" s="711" t="s">
        <v>44</v>
      </c>
      <c r="EY16" s="712"/>
      <c r="EZ16" s="712"/>
      <c r="FA16" s="714"/>
      <c r="FB16" s="236"/>
      <c r="FC16" s="237"/>
      <c r="FD16" s="237"/>
      <c r="FE16" s="237"/>
      <c r="FF16" s="238"/>
      <c r="FG16" s="690" t="s">
        <v>44</v>
      </c>
      <c r="FH16" s="356"/>
      <c r="FI16" s="356"/>
      <c r="FJ16" s="401"/>
      <c r="FK16" s="239"/>
      <c r="FL16" s="240"/>
      <c r="FM16" s="240"/>
      <c r="FN16" s="240"/>
      <c r="FO16" s="241"/>
      <c r="FP16" s="711" t="s">
        <v>44</v>
      </c>
      <c r="FQ16" s="712"/>
      <c r="FR16" s="712"/>
      <c r="FS16" s="713"/>
      <c r="FT16" s="236"/>
      <c r="FU16" s="237"/>
      <c r="FV16" s="237"/>
      <c r="FW16" s="237"/>
      <c r="FX16" s="238"/>
      <c r="FY16" s="677" t="s">
        <v>44</v>
      </c>
      <c r="FZ16" s="356"/>
      <c r="GA16" s="356"/>
      <c r="GB16" s="401"/>
      <c r="GC16" s="239"/>
      <c r="GD16" s="240"/>
      <c r="GE16" s="240"/>
      <c r="GF16" s="240"/>
      <c r="GG16" s="241"/>
      <c r="GK16" s="223" t="s">
        <v>44</v>
      </c>
      <c r="GL16" s="223">
        <f t="shared" si="8"/>
        <v>0</v>
      </c>
      <c r="GM16" s="223">
        <f>IF($GK16=Creation!$Q$28,1,0)</f>
        <v>0</v>
      </c>
      <c r="GN16" s="223">
        <f>IF($GK16=Creation!$Q$29,1,0)</f>
        <v>0</v>
      </c>
      <c r="GO16" s="223">
        <f>IF($GK16=Creation!$Q$30,1,0)</f>
        <v>0</v>
      </c>
      <c r="GP16" s="223">
        <f>IF($GK16=Creation!$Q$31,1,0)</f>
        <v>0</v>
      </c>
      <c r="GQ16" s="223">
        <f>IF($GK16=Creation!$Q$32,1,0)</f>
        <v>0</v>
      </c>
      <c r="GR16" s="223">
        <f>IF($GK16=Creation!$Q$33,1,0)</f>
        <v>0</v>
      </c>
    </row>
    <row r="17" spans="1:200" x14ac:dyDescent="0.25">
      <c r="A17" s="677" t="s">
        <v>13</v>
      </c>
      <c r="B17" s="356"/>
      <c r="C17" s="356"/>
      <c r="D17" s="356"/>
      <c r="E17" s="146">
        <f>IF(Creation!BO5+Creation!BQ5&gt;0,1,0)</f>
        <v>0</v>
      </c>
      <c r="F17" s="146">
        <f>IF(Creation!BO5+Creation!BQ5&gt;1,1,0)</f>
        <v>0</v>
      </c>
      <c r="G17" s="146">
        <f>IF(Creation!BO5+Creation!BQ5&gt;2,1,0)</f>
        <v>0</v>
      </c>
      <c r="H17" s="146">
        <f>IF(Creation!BO5+Creation!BQ5&gt;3,1,0)</f>
        <v>0</v>
      </c>
      <c r="I17" s="146">
        <f>IF(Creation!BO5+Creation!BQ5&gt;4,1,0)</f>
        <v>0</v>
      </c>
      <c r="J17" s="146">
        <f>IF(Creation!BO5+Creation!BQ5&gt;5,1,0)</f>
        <v>0</v>
      </c>
      <c r="K17" s="146">
        <f>IF(Creation!BO5+Creation!BQ5&gt;6,1,0)</f>
        <v>0</v>
      </c>
      <c r="L17" s="146">
        <f>IF(Creation!BO5+Creation!BQ5&gt;7,1,0)</f>
        <v>0</v>
      </c>
      <c r="M17" s="146">
        <f>IF(Creation!BO5+Creation!BQ5&gt;8,1,0)</f>
        <v>0</v>
      </c>
      <c r="N17" s="146">
        <f>IF(Creation!BO5+Creation!BQ5&gt;9,1,0)</f>
        <v>0</v>
      </c>
      <c r="O17" s="149">
        <f>IF(Creation!BO5+Creation!BQ5&gt;10,1,0)</f>
        <v>0</v>
      </c>
      <c r="P17" s="677" t="s">
        <v>43</v>
      </c>
      <c r="Q17" s="356"/>
      <c r="R17" s="356"/>
      <c r="S17" s="356"/>
      <c r="T17" s="146">
        <f>IF(Creation!AC12+Creation!AF12&gt;0,1,0)</f>
        <v>0</v>
      </c>
      <c r="U17" s="146">
        <f>IF(Creation!AC12+Creation!AF12&gt;1,1,0)</f>
        <v>0</v>
      </c>
      <c r="V17" s="146">
        <f>IF(Creation!AC12+Creation!AF12&gt;2,1,0)</f>
        <v>0</v>
      </c>
      <c r="W17" s="146">
        <f>IF(Creation!AC12+Creation!AF12&gt;3,1,0)</f>
        <v>0</v>
      </c>
      <c r="X17" s="147">
        <f>IF(Creation!AC12+Creation!AF12&gt;4,1,0)</f>
        <v>0</v>
      </c>
      <c r="Y17" s="677" t="s">
        <v>13</v>
      </c>
      <c r="Z17" s="356"/>
      <c r="AA17" s="356"/>
      <c r="AB17" s="401"/>
      <c r="AC17" s="239"/>
      <c r="AD17" s="240"/>
      <c r="AE17" s="240"/>
      <c r="AF17" s="240"/>
      <c r="AG17" s="240"/>
      <c r="AH17" s="240"/>
      <c r="AI17" s="240"/>
      <c r="AJ17" s="240"/>
      <c r="AK17" s="240"/>
      <c r="AL17" s="240"/>
      <c r="AM17" s="241"/>
      <c r="AN17" s="677" t="s">
        <v>43</v>
      </c>
      <c r="AO17" s="356"/>
      <c r="AP17" s="356"/>
      <c r="AQ17" s="401"/>
      <c r="AR17" s="239"/>
      <c r="AS17" s="240"/>
      <c r="AT17" s="240"/>
      <c r="AU17" s="240"/>
      <c r="AV17" s="241"/>
      <c r="AW17" s="690" t="s">
        <v>13</v>
      </c>
      <c r="AX17" s="356"/>
      <c r="AY17" s="356"/>
      <c r="AZ17" s="401"/>
      <c r="BA17" s="250"/>
      <c r="BB17" s="240"/>
      <c r="BC17" s="240"/>
      <c r="BD17" s="240"/>
      <c r="BE17" s="240"/>
      <c r="BF17" s="240"/>
      <c r="BG17" s="240"/>
      <c r="BH17" s="240"/>
      <c r="BI17" s="240"/>
      <c r="BJ17" s="240"/>
      <c r="BK17" s="241"/>
      <c r="BL17" s="677" t="s">
        <v>43</v>
      </c>
      <c r="BM17" s="356"/>
      <c r="BN17" s="356"/>
      <c r="BO17" s="401"/>
      <c r="BP17" s="250"/>
      <c r="BQ17" s="240"/>
      <c r="BR17" s="240"/>
      <c r="BS17" s="240"/>
      <c r="BT17" s="241"/>
      <c r="BU17" s="690" t="s">
        <v>13</v>
      </c>
      <c r="BV17" s="356"/>
      <c r="BW17" s="356"/>
      <c r="BX17" s="356"/>
      <c r="BY17" s="146">
        <f>IF(AND(E17=0,AC17=0,BA17=0,DemigodConversion!$BM5+DemigodConversion!$BO5+DemigodConversion!$BQ5&gt;0),1,0)</f>
        <v>0</v>
      </c>
      <c r="BZ17" s="146">
        <f>IF(SUM($BY17:BY17)=SUM(DemigodConversion!$BO5:$BR5),0,IF(AND(F17=0,AD17=0,BB17=0,DemigodConversion!$BM5+DemigodConversion!$BO5+DemigodConversion!$BQ5&gt;BY$15),1,0))</f>
        <v>0</v>
      </c>
      <c r="CA17" s="146">
        <f>IF(SUM($BY17:BZ17)=SUM(DemigodConversion!$BO5:$BR5),0,IF(AND(G17=0,AE17=0,BC17=0,DemigodConversion!$BM5+DemigodConversion!$BO5+DemigodConversion!$BQ5&gt;BZ$15),1,0))</f>
        <v>0</v>
      </c>
      <c r="CB17" s="146">
        <f>IF(SUM($BY17:CA17)=SUM(DemigodConversion!$BO5:$BR5),0,IF(AND(H17=0,AF17=0,BD17=0,DemigodConversion!$BM5+DemigodConversion!$BO5+DemigodConversion!$BQ5&gt;CA$15),1,0))</f>
        <v>0</v>
      </c>
      <c r="CC17" s="146">
        <f>IF(SUM($BY17:CB17)=SUM(DemigodConversion!$BO5:$BR5),0,IF(AND(I17=0,AG17=0,BE17=0,DemigodConversion!$BM5+DemigodConversion!$BO5+DemigodConversion!$BQ5&gt;CB$15),1,0))</f>
        <v>0</v>
      </c>
      <c r="CD17" s="146">
        <f>IF(SUM($BY17:CC17)=SUM(DemigodConversion!$BO5:$BR5),0,IF(AND(J17=0,AH17=0,BF17=0,DemigodConversion!$BM5+DemigodConversion!$BO5+DemigodConversion!$BQ5&gt;CC$15),1,0))</f>
        <v>0</v>
      </c>
      <c r="CE17" s="146">
        <f>IF(SUM($BY17:CD17)=SUM(DemigodConversion!$BO5:$BR5),0,IF(AND(K17=0,AI17=0,BG17=0,DemigodConversion!$BM5+DemigodConversion!$BO5+DemigodConversion!$BQ5&gt;CD$15),1,0))</f>
        <v>0</v>
      </c>
      <c r="CF17" s="146">
        <f>IF(SUM($BY17:CE17)=SUM(DemigodConversion!$BO5:$BR5),0,IF(AND(L17=0,AJ17=0,BH17=0,DemigodConversion!$BM5+DemigodConversion!$BO5+DemigodConversion!$BQ5&gt;CE$15),1,0))</f>
        <v>0</v>
      </c>
      <c r="CG17" s="146">
        <f>IF(SUM($BY17:CF17)=SUM(DemigodConversion!$BO5:$BR5),0,IF(AND(M17=0,AK17=0,BI17=0,DemigodConversion!$BM5+DemigodConversion!$BO5+DemigodConversion!$BQ5&gt;CF$15),1,0))</f>
        <v>0</v>
      </c>
      <c r="CH17" s="146">
        <f>IF(SUM($BY17:CG17)=SUM(DemigodConversion!$BO5:$BR5),0,IF(AND(N17=0,AL17=0,BJ17=0,DemigodConversion!$BM5+DemigodConversion!$BO5+DemigodConversion!$BQ5&gt;CG$15),1,0))</f>
        <v>0</v>
      </c>
      <c r="CI17" s="147">
        <f>IF(SUM($BY17:CH17)=SUM(DemigodConversion!$BO5:$BR5),0,IF(AND(O17=0,AM17=0,BK17=0,DemigodConversion!$BM5+DemigodConversion!$BO5+DemigodConversion!$BQ5&gt;CH$15),1,0))</f>
        <v>0</v>
      </c>
      <c r="CJ17" s="677" t="s">
        <v>43</v>
      </c>
      <c r="CK17" s="356"/>
      <c r="CL17" s="356"/>
      <c r="CM17" s="356"/>
      <c r="CN17" s="229">
        <f>IF(AND(T17=0,AR17=0,BP17=0,FB15=0,FK15=0,FT15=0,GC15=0,ES15=0,DemigodConversion!$AC12+DemigodConversion!$AF12&gt;0),1,0)</f>
        <v>0</v>
      </c>
      <c r="CO17" s="271">
        <f>IF(AND(U17=0,AS17=0,BQ17=0,FC15=0,FL15=0,FU15=0,GD15=0,ET15=0,DemigodConversion!$AC12+DemigodConversion!$AF12&gt;1),1,0)</f>
        <v>0</v>
      </c>
      <c r="CP17" s="271">
        <f>IF(AND(V17=0,AT17=0,BR17=0,FD15=0,FM15=0,FV15=0,GE15=0,EU15=0,DemigodConversion!$AC12+DemigodConversion!$AF12&gt;2),1,0)</f>
        <v>0</v>
      </c>
      <c r="CQ17" s="271">
        <f>IF(AND(W17=0,AU17=0,BS17=0,FE15=0,FN15=0,FW15=0,GF15=0,EV15=0,DemigodConversion!$AC12+DemigodConversion!$AF12&gt;3),1,0)</f>
        <v>0</v>
      </c>
      <c r="CR17" s="271">
        <f>IF(AND(X17=0,AV17=0,BT17=0,FF15=0,FO15=0,FX15=0,GG15=0,EW15=0,DemigodConversion!$AC12+DemigodConversion!$AF12&gt;4),1,0)</f>
        <v>0</v>
      </c>
      <c r="CS17" s="690" t="s">
        <v>13</v>
      </c>
      <c r="CT17" s="356"/>
      <c r="CU17" s="356"/>
      <c r="CV17" s="356"/>
      <c r="CW17" s="146">
        <f>IF(AND(E17=0,AC17=0,BA17=0,BY17=0,0&lt;SUM(GodConversion!$BM5:$BR5)),1,0)</f>
        <v>0</v>
      </c>
      <c r="CX17" s="146">
        <f>IF(AND(F17=0,AD17=0,BB17=0,BZ17=0,CW$15&lt;SUM(GodConversion!$BM5:$BR5)),1,0)</f>
        <v>0</v>
      </c>
      <c r="CY17" s="146">
        <f>IF(AND(G17=0,AE17=0,BC17=0,CA17=0,CX$15&lt;SUM(GodConversion!$BM5:$BR5)),1,0)</f>
        <v>0</v>
      </c>
      <c r="CZ17" s="146">
        <f>IF(AND(H17=0,AF17=0,BD17=0,CB17=0,CY$15&lt;SUM(GodConversion!$BM5:$BR5)),1,0)</f>
        <v>0</v>
      </c>
      <c r="DA17" s="146">
        <f>IF(AND(I17=0,AG17=0,BE17=0,CC17=0,CZ$15&lt;SUM(GodConversion!$BM5:$BR5)),1,0)</f>
        <v>0</v>
      </c>
      <c r="DB17" s="146">
        <f>IF(AND(J17=0,AH17=0,BF17=0,CD17=0,DA$15&lt;SUM(GodConversion!$BM5:$BR5)),1,0)</f>
        <v>0</v>
      </c>
      <c r="DC17" s="146">
        <f>IF(AND(K17=0,AI17=0,BG17=0,CE17=0,DB$15&lt;SUM(GodConversion!$BM5:$BR5)),1,0)</f>
        <v>0</v>
      </c>
      <c r="DD17" s="146">
        <f>IF(AND(L17=0,AJ17=0,BH17=0,CF17=0,DC$15&lt;SUM(GodConversion!$BM5:$BR5)),1,0)</f>
        <v>0</v>
      </c>
      <c r="DE17" s="146">
        <f>IF(AND(M17=0,AK17=0,BI17=0,CG17=0,DD$15&lt;SUM(GodConversion!$BM5:$BR5)),1,0)</f>
        <v>0</v>
      </c>
      <c r="DF17" s="146">
        <f>IF(AND(N17=0,AL17=0,BJ17=0,CH17=0,DE$15&lt;SUM(GodConversion!$BM5:$BR5)),1,0)</f>
        <v>0</v>
      </c>
      <c r="DG17" s="149">
        <f>IF(AND(O17=0,AM17=0,BK17=0,CI17=0,DF$15&lt;SUM(GodConversion!$BM5:$BR5)),1,0)</f>
        <v>0</v>
      </c>
      <c r="DH17" s="690" t="s">
        <v>43</v>
      </c>
      <c r="DI17" s="356"/>
      <c r="DJ17" s="356"/>
      <c r="DK17" s="356"/>
      <c r="DL17" s="229">
        <f>IF(AND(T17=0,AR17=0,BP17=0,ES15=0,FB15=0,FK15=0,FT15=0,GC15=0,CN17=0,0&lt;GodConversion!$AC12+GodConversion!$AF12),1,0)</f>
        <v>0</v>
      </c>
      <c r="DM17" s="271">
        <f>IF(AND(U17=0,AS17=0,BQ17=0,ET15=0,FC15=0,FL15=0,FU15=0,GD15=0,CO17=0,1&lt;GodConversion!$AC12+GodConversion!$AF12),1,0)</f>
        <v>0</v>
      </c>
      <c r="DN17" s="271">
        <f>IF(AND(V17=0,AT17=0,BR17=0,EU15=0,FD15=0,FM15=0,FV15=0,GE15=0,CP17=0,2&lt;GodConversion!$AC12+GodConversion!$AF12),1,0)</f>
        <v>0</v>
      </c>
      <c r="DO17" s="271">
        <f>IF(AND(W17=0,AU17=0,BS17=0,EV15=0,FE15=0,FN15=0,FW15=0,GF15=0,CQ17=0,3&lt;GodConversion!$AC12+GodConversion!$AF12),1,0)</f>
        <v>0</v>
      </c>
      <c r="DP17" s="271">
        <f>IF(AND(X17=0,AV17=0,BT17=0,EW15=0,FF15=0,FO15=0,FX15=0,GG15=0,CR17=0,4&lt;GodConversion!$AC12+GodConversion!$AF12),1,0)</f>
        <v>0</v>
      </c>
      <c r="DQ17" s="677" t="s">
        <v>13</v>
      </c>
      <c r="DR17" s="356"/>
      <c r="DS17" s="356"/>
      <c r="DT17" s="356"/>
      <c r="DU17" s="146">
        <f>IF($AC17=1,IF(LOOKUP(CharacterSheet!$AK$7,AssociatedRef!$A$2:$A$130,AssociatedRef!$C$2:$C$130)="Yes",8,10),0)</f>
        <v>0</v>
      </c>
      <c r="DV17" s="146">
        <f>IF(AD17=1,IF(LOOKUP(CharacterSheet!$AK$7,AssociatedRef!$A$2:$A$130,AssociatedRef!$C$2:$C$130)="Yes",DU$15*4,DU$15*5),0)</f>
        <v>0</v>
      </c>
      <c r="DW17" s="146">
        <f>IF(AE17=1,IF(LOOKUP(CharacterSheet!$AK$7,AssociatedRef!$A$2:$A$130,AssociatedRef!$C$2:$C$130)="Yes",DV$15*4,DV$15*5),0)</f>
        <v>0</v>
      </c>
      <c r="DX17" s="146">
        <f>IF(AF17=1,IF(LOOKUP(CharacterSheet!$AK$7,AssociatedRef!$A$2:$A$130,AssociatedRef!$C$2:$C$130)="Yes",DW$15*4,DW$15*5),0)</f>
        <v>0</v>
      </c>
      <c r="DY17" s="146">
        <f>IF(AG17=1,IF(LOOKUP(CharacterSheet!$AK$7,AssociatedRef!$A$2:$A$130,AssociatedRef!$C$2:$C$130)="Yes",DX$15*4,DX$15*5),0)</f>
        <v>0</v>
      </c>
      <c r="DZ17" s="146">
        <f>IF(AH17=1,IF(LOOKUP(CharacterSheet!$AK$7,AssociatedRef!$A$2:$A$130,AssociatedRef!$C$2:$C$130)="Yes",DY$15*4,DY$15*5),0)</f>
        <v>0</v>
      </c>
      <c r="EA17" s="146">
        <f>IF(AI17=1,IF(LOOKUP(CharacterSheet!$AK$7,AssociatedRef!$A$2:$A$130,AssociatedRef!$C$2:$C$130)="Yes",DZ$15*4,DZ$15*5),0)</f>
        <v>0</v>
      </c>
      <c r="EB17" s="146">
        <f>IF(AJ17=1,IF(LOOKUP(CharacterSheet!$AK$7,AssociatedRef!$A$2:$A$130,AssociatedRef!$C$2:$C$130)="Yes",EA$15*4,EA$15*5),0)</f>
        <v>0</v>
      </c>
      <c r="EC17" s="146">
        <f>IF(AK17=1,IF(LOOKUP(CharacterSheet!$AK$7,AssociatedRef!$A$2:$A$130,AssociatedRef!$C$2:$C$130)="Yes",EB$15*4,EB$15*5),0)</f>
        <v>0</v>
      </c>
      <c r="ED17" s="146">
        <f>IF(AL17=1,IF(LOOKUP(CharacterSheet!$AK$7,AssociatedRef!$A$2:$A$130,AssociatedRef!$C$2:$C$130)="Yes",EC$15*4,EC$15*5),0)</f>
        <v>0</v>
      </c>
      <c r="EE17" s="149">
        <f>IF(AM17=1,IF(LOOKUP(CharacterSheet!$AK$7,AssociatedRef!$A$2:$A$130,AssociatedRef!$C$2:$C$130)="Yes",ED$15*4,ED$15*5),0)</f>
        <v>0</v>
      </c>
      <c r="EF17" s="677" t="s">
        <v>43</v>
      </c>
      <c r="EG17" s="356"/>
      <c r="EH17" s="356"/>
      <c r="EI17" s="356"/>
      <c r="EJ17" s="210">
        <f t="shared" si="11"/>
        <v>0</v>
      </c>
      <c r="EK17" s="210">
        <f t="shared" si="12"/>
        <v>0</v>
      </c>
      <c r="EL17" s="210">
        <f t="shared" si="13"/>
        <v>0</v>
      </c>
      <c r="EM17" s="210">
        <f t="shared" si="14"/>
        <v>0</v>
      </c>
      <c r="EN17" s="210">
        <f t="shared" si="15"/>
        <v>0</v>
      </c>
      <c r="EO17" s="702" t="s">
        <v>45</v>
      </c>
      <c r="EP17" s="703"/>
      <c r="EQ17" s="703"/>
      <c r="ER17" s="704"/>
      <c r="ES17" s="248"/>
      <c r="ET17" s="249"/>
      <c r="EU17" s="240"/>
      <c r="EV17" s="240"/>
      <c r="EW17" s="240"/>
      <c r="EX17" s="711" t="s">
        <v>45</v>
      </c>
      <c r="EY17" s="712"/>
      <c r="EZ17" s="712"/>
      <c r="FA17" s="714"/>
      <c r="FB17" s="236"/>
      <c r="FC17" s="237"/>
      <c r="FD17" s="237"/>
      <c r="FE17" s="237"/>
      <c r="FF17" s="238"/>
      <c r="FG17" s="690" t="s">
        <v>45</v>
      </c>
      <c r="FH17" s="356"/>
      <c r="FI17" s="356"/>
      <c r="FJ17" s="401"/>
      <c r="FK17" s="239"/>
      <c r="FL17" s="240"/>
      <c r="FM17" s="240"/>
      <c r="FN17" s="240"/>
      <c r="FO17" s="241"/>
      <c r="FP17" s="711" t="s">
        <v>45</v>
      </c>
      <c r="FQ17" s="712"/>
      <c r="FR17" s="712"/>
      <c r="FS17" s="713"/>
      <c r="FT17" s="236"/>
      <c r="FU17" s="237"/>
      <c r="FV17" s="237"/>
      <c r="FW17" s="237"/>
      <c r="FX17" s="238"/>
      <c r="FY17" s="677" t="s">
        <v>45</v>
      </c>
      <c r="FZ17" s="356"/>
      <c r="GA17" s="356"/>
      <c r="GB17" s="401"/>
      <c r="GC17" s="239"/>
      <c r="GD17" s="240"/>
      <c r="GE17" s="240"/>
      <c r="GF17" s="240"/>
      <c r="GG17" s="241"/>
      <c r="GK17" s="223" t="s">
        <v>45</v>
      </c>
      <c r="GL17" s="223">
        <f t="shared" si="8"/>
        <v>0</v>
      </c>
      <c r="GM17" s="223">
        <f>IF($GK17=Creation!$Q$28,1,0)</f>
        <v>0</v>
      </c>
      <c r="GN17" s="223">
        <f>IF($GK17=Creation!$Q$29,1,0)</f>
        <v>0</v>
      </c>
      <c r="GO17" s="223">
        <f>IF($GK17=Creation!$Q$30,1,0)</f>
        <v>0</v>
      </c>
      <c r="GP17" s="223">
        <f>IF($GK17=Creation!$Q$31,1,0)</f>
        <v>0</v>
      </c>
      <c r="GQ17" s="223">
        <f>IF($GK17=Creation!$Q$32,1,0)</f>
        <v>0</v>
      </c>
      <c r="GR17" s="223">
        <f>IF($GK17=Creation!$Q$33,1,0)</f>
        <v>0</v>
      </c>
    </row>
    <row r="18" spans="1:200" x14ac:dyDescent="0.25">
      <c r="A18" s="677" t="s">
        <v>14</v>
      </c>
      <c r="B18" s="356"/>
      <c r="C18" s="356"/>
      <c r="D18" s="356"/>
      <c r="E18" s="146">
        <f>IF(Creation!BO6+Creation!BQ6&gt;0,1,0)</f>
        <v>0</v>
      </c>
      <c r="F18" s="146">
        <f>IF(Creation!BO6+Creation!BQ6&gt;1,1,0)</f>
        <v>0</v>
      </c>
      <c r="G18" s="146">
        <f>IF(Creation!BO6+Creation!BQ6&gt;2,1,0)</f>
        <v>0</v>
      </c>
      <c r="H18" s="146">
        <f>IF(Creation!BO6+Creation!BQ6&gt;3,1,0)</f>
        <v>0</v>
      </c>
      <c r="I18" s="146">
        <f>IF(Creation!BO6+Creation!BQ6&gt;4,1,0)</f>
        <v>0</v>
      </c>
      <c r="J18" s="146">
        <f>IF(Creation!BO6+Creation!BQ6&gt;5,1,0)</f>
        <v>0</v>
      </c>
      <c r="K18" s="146">
        <f>IF(Creation!BO6+Creation!BQ6&gt;6,1,0)</f>
        <v>0</v>
      </c>
      <c r="L18" s="146">
        <f>IF(Creation!BO6+Creation!BQ6&gt;7,1,0)</f>
        <v>0</v>
      </c>
      <c r="M18" s="146">
        <f>IF(Creation!BO6+Creation!BQ6&gt;8,1,0)</f>
        <v>0</v>
      </c>
      <c r="N18" s="146">
        <f>IF(Creation!BO6+Creation!BQ6&gt;9,1,0)</f>
        <v>0</v>
      </c>
      <c r="O18" s="149">
        <f>IF(Creation!BO6+Creation!BQ6&gt;10,1,0)</f>
        <v>0</v>
      </c>
      <c r="P18" s="677" t="s">
        <v>44</v>
      </c>
      <c r="Q18" s="356"/>
      <c r="R18" s="356"/>
      <c r="S18" s="356"/>
      <c r="T18" s="146">
        <f>IF(Creation!AC13+Creation!AF13&gt;0,1,0)</f>
        <v>0</v>
      </c>
      <c r="U18" s="146">
        <f>IF(Creation!AC13+Creation!AF13&gt;1,1,0)</f>
        <v>0</v>
      </c>
      <c r="V18" s="146">
        <f>IF(Creation!AC13+Creation!AF13&gt;2,1,0)</f>
        <v>0</v>
      </c>
      <c r="W18" s="146">
        <f>IF(Creation!AC13+Creation!AF13&gt;3,1,0)</f>
        <v>0</v>
      </c>
      <c r="X18" s="147">
        <f>IF(Creation!AC13+Creation!AF13&gt;4,1,0)</f>
        <v>0</v>
      </c>
      <c r="Y18" s="677" t="s">
        <v>14</v>
      </c>
      <c r="Z18" s="356"/>
      <c r="AA18" s="356"/>
      <c r="AB18" s="401"/>
      <c r="AC18" s="239"/>
      <c r="AD18" s="240"/>
      <c r="AE18" s="240"/>
      <c r="AF18" s="240"/>
      <c r="AG18" s="240"/>
      <c r="AH18" s="240"/>
      <c r="AI18" s="240"/>
      <c r="AJ18" s="240"/>
      <c r="AK18" s="240"/>
      <c r="AL18" s="240"/>
      <c r="AM18" s="241"/>
      <c r="AN18" s="677" t="s">
        <v>44</v>
      </c>
      <c r="AO18" s="356"/>
      <c r="AP18" s="356"/>
      <c r="AQ18" s="401"/>
      <c r="AR18" s="239"/>
      <c r="AS18" s="240"/>
      <c r="AT18" s="240"/>
      <c r="AU18" s="240"/>
      <c r="AV18" s="241"/>
      <c r="AW18" s="690" t="s">
        <v>14</v>
      </c>
      <c r="AX18" s="356"/>
      <c r="AY18" s="356"/>
      <c r="AZ18" s="401"/>
      <c r="BA18" s="250"/>
      <c r="BB18" s="240"/>
      <c r="BC18" s="240"/>
      <c r="BD18" s="240"/>
      <c r="BE18" s="240"/>
      <c r="BF18" s="240"/>
      <c r="BG18" s="240"/>
      <c r="BH18" s="240"/>
      <c r="BI18" s="240"/>
      <c r="BJ18" s="240"/>
      <c r="BK18" s="241"/>
      <c r="BL18" s="677" t="s">
        <v>44</v>
      </c>
      <c r="BM18" s="356"/>
      <c r="BN18" s="356"/>
      <c r="BO18" s="401"/>
      <c r="BP18" s="250"/>
      <c r="BQ18" s="240"/>
      <c r="BR18" s="240"/>
      <c r="BS18" s="240"/>
      <c r="BT18" s="241"/>
      <c r="BU18" s="690" t="s">
        <v>14</v>
      </c>
      <c r="BV18" s="356"/>
      <c r="BW18" s="356"/>
      <c r="BX18" s="356"/>
      <c r="BY18" s="146">
        <f>IF(AND(E18=0,AC18=0,BA18=0,DemigodConversion!$BM6+DemigodConversion!$BO6+DemigodConversion!$BQ6&gt;0),1,0)</f>
        <v>0</v>
      </c>
      <c r="BZ18" s="146">
        <f>IF(SUM($BY18:BY18)=SUM(DemigodConversion!$BO6:$BR6),0,IF(AND(F18=0,AD18=0,BB18=0,DemigodConversion!$BM6+DemigodConversion!$BO6+DemigodConversion!$BQ6&gt;BY$15),1,0))</f>
        <v>0</v>
      </c>
      <c r="CA18" s="146">
        <f>IF(SUM($BY18:BZ18)=SUM(DemigodConversion!$BO6:$BR6),0,IF(AND(G18=0,AE18=0,BC18=0,DemigodConversion!$BM6+DemigodConversion!$BO6+DemigodConversion!$BQ6&gt;BZ$15),1,0))</f>
        <v>0</v>
      </c>
      <c r="CB18" s="146">
        <f>IF(SUM($BY18:CA18)=SUM(DemigodConversion!$BO6:$BR6),0,IF(AND(H18=0,AF18=0,BD18=0,DemigodConversion!$BM6+DemigodConversion!$BO6+DemigodConversion!$BQ6&gt;CA$15),1,0))</f>
        <v>0</v>
      </c>
      <c r="CC18" s="146">
        <f>IF(SUM($BY18:CB18)=SUM(DemigodConversion!$BO6:$BR6),0,IF(AND(I18=0,AG18=0,BE18=0,DemigodConversion!$BM6+DemigodConversion!$BO6+DemigodConversion!$BQ6&gt;CB$15),1,0))</f>
        <v>0</v>
      </c>
      <c r="CD18" s="146">
        <f>IF(SUM($BY18:CC18)=SUM(DemigodConversion!$BO6:$BR6),0,IF(AND(J18=0,AH18=0,BF18=0,DemigodConversion!$BM6+DemigodConversion!$BO6+DemigodConversion!$BQ6&gt;CC$15),1,0))</f>
        <v>0</v>
      </c>
      <c r="CE18" s="146">
        <f>IF(SUM($BY18:CD18)=SUM(DemigodConversion!$BO6:$BR6),0,IF(AND(K18=0,AI18=0,BG18=0,DemigodConversion!$BM6+DemigodConversion!$BO6+DemigodConversion!$BQ6&gt;CD$15),1,0))</f>
        <v>0</v>
      </c>
      <c r="CF18" s="146">
        <f>IF(SUM($BY18:CE18)=SUM(DemigodConversion!$BO6:$BR6),0,IF(AND(L18=0,AJ18=0,BH18=0,DemigodConversion!$BM6+DemigodConversion!$BO6+DemigodConversion!$BQ6&gt;CE$15),1,0))</f>
        <v>0</v>
      </c>
      <c r="CG18" s="146">
        <f>IF(SUM($BY18:CF18)=SUM(DemigodConversion!$BO6:$BR6),0,IF(AND(M18=0,AK18=0,BI18=0,DemigodConversion!$BM6+DemigodConversion!$BO6+DemigodConversion!$BQ6&gt;CF$15),1,0))</f>
        <v>0</v>
      </c>
      <c r="CH18" s="146">
        <f>IF(SUM($BY18:CG18)=SUM(DemigodConversion!$BO6:$BR6),0,IF(AND(N18=0,AL18=0,BJ18=0,DemigodConversion!$BM6+DemigodConversion!$BO6+DemigodConversion!$BQ6&gt;CG$15),1,0))</f>
        <v>0</v>
      </c>
      <c r="CI18" s="147">
        <f>IF(SUM($BY18:CH18)=SUM(DemigodConversion!$BO6:$BR6),0,IF(AND(O18=0,AM18=0,BK18=0,DemigodConversion!$BM6+DemigodConversion!$BO6+DemigodConversion!$BQ6&gt;CH$15),1,0))</f>
        <v>0</v>
      </c>
      <c r="CJ18" s="677" t="s">
        <v>44</v>
      </c>
      <c r="CK18" s="356"/>
      <c r="CL18" s="356"/>
      <c r="CM18" s="356"/>
      <c r="CN18" s="229">
        <f>IF(AND(T18=0,AR18=0,BP18=0,FB16=0,FK16=0,FT16=0,GC16=0,ES16=0,DemigodConversion!$AC13+DemigodConversion!$AF13&gt;0),1,0)</f>
        <v>0</v>
      </c>
      <c r="CO18" s="271">
        <f>IF(AND(U18=0,AS18=0,BQ18=0,FC16=0,FL16=0,FU16=0,GD16=0,ET16=0,DemigodConversion!$AC13+DemigodConversion!$AF13&gt;1),1,0)</f>
        <v>0</v>
      </c>
      <c r="CP18" s="271">
        <f>IF(AND(V18=0,AT18=0,BR18=0,FD16=0,FM16=0,FV16=0,GE16=0,EU16=0,DemigodConversion!$AC13+DemigodConversion!$AF13&gt;2),1,0)</f>
        <v>0</v>
      </c>
      <c r="CQ18" s="271">
        <f>IF(AND(W18=0,AU18=0,BS18=0,FE16=0,FN16=0,FW16=0,GF16=0,EV16=0,DemigodConversion!$AC13+DemigodConversion!$AF13&gt;3),1,0)</f>
        <v>0</v>
      </c>
      <c r="CR18" s="271">
        <f>IF(AND(X18=0,AV18=0,BT18=0,FF16=0,FO16=0,FX16=0,GG16=0,EW16=0,DemigodConversion!$AC13+DemigodConversion!$AF13&gt;4),1,0)</f>
        <v>0</v>
      </c>
      <c r="CS18" s="690" t="s">
        <v>14</v>
      </c>
      <c r="CT18" s="356"/>
      <c r="CU18" s="356"/>
      <c r="CV18" s="356"/>
      <c r="CW18" s="146">
        <f>IF(AND(E18=0,AC18=0,BA18=0,BY18=0,0&lt;SUM(GodConversion!$BM6:$BR6)),1,0)</f>
        <v>0</v>
      </c>
      <c r="CX18" s="146">
        <f>IF(AND(F18=0,AD18=0,BB18=0,BZ18=0,CW$15&lt;SUM(GodConversion!$BM6:$BR6)),1,0)</f>
        <v>0</v>
      </c>
      <c r="CY18" s="146">
        <f>IF(AND(G18=0,AE18=0,BC18=0,CA18=0,CX$15&lt;SUM(GodConversion!$BM6:$BR6)),1,0)</f>
        <v>0</v>
      </c>
      <c r="CZ18" s="146">
        <f>IF(AND(H18=0,AF18=0,BD18=0,CB18=0,CY$15&lt;SUM(GodConversion!$BM6:$BR6)),1,0)</f>
        <v>0</v>
      </c>
      <c r="DA18" s="146">
        <f>IF(AND(I18=0,AG18=0,BE18=0,CC18=0,CZ$15&lt;SUM(GodConversion!$BM6:$BR6)),1,0)</f>
        <v>0</v>
      </c>
      <c r="DB18" s="146">
        <f>IF(AND(J18=0,AH18=0,BF18=0,CD18=0,DA$15&lt;SUM(GodConversion!$BM6:$BR6)),1,0)</f>
        <v>0</v>
      </c>
      <c r="DC18" s="146">
        <f>IF(AND(K18=0,AI18=0,BG18=0,CE18=0,DB$15&lt;SUM(GodConversion!$BM6:$BR6)),1,0)</f>
        <v>0</v>
      </c>
      <c r="DD18" s="146">
        <f>IF(AND(L18=0,AJ18=0,BH18=0,CF18=0,DC$15&lt;SUM(GodConversion!$BM6:$BR6)),1,0)</f>
        <v>0</v>
      </c>
      <c r="DE18" s="146">
        <f>IF(AND(M18=0,AK18=0,BI18=0,CG18=0,DD$15&lt;SUM(GodConversion!$BM6:$BR6)),1,0)</f>
        <v>0</v>
      </c>
      <c r="DF18" s="146">
        <f>IF(AND(N18=0,AL18=0,BJ18=0,CH18=0,DE$15&lt;SUM(GodConversion!$BM6:$BR6)),1,0)</f>
        <v>0</v>
      </c>
      <c r="DG18" s="149">
        <f>IF(AND(O18=0,AM18=0,BK18=0,CI18=0,DF$15&lt;SUM(GodConversion!$BM6:$BR6)),1,0)</f>
        <v>0</v>
      </c>
      <c r="DH18" s="690" t="s">
        <v>44</v>
      </c>
      <c r="DI18" s="356"/>
      <c r="DJ18" s="356"/>
      <c r="DK18" s="356"/>
      <c r="DL18" s="229">
        <f>IF(AND(T18=0,AR18=0,BP18=0,ES16=0,FB16=0,FK16=0,FT16=0,GC16=0,CN18=0,0&lt;GodConversion!$AC13+GodConversion!$AF13),1,0)</f>
        <v>0</v>
      </c>
      <c r="DM18" s="271">
        <f>IF(AND(U18=0,AS18=0,BQ18=0,ET16=0,FC16=0,FL16=0,FU16=0,GD16=0,CO18=0,1&lt;GodConversion!$AC13+GodConversion!$AF13),1,0)</f>
        <v>0</v>
      </c>
      <c r="DN18" s="271">
        <f>IF(AND(V18=0,AT18=0,BR18=0,EU16=0,FD16=0,FM16=0,FV16=0,GE16=0,CP18=0,2&lt;GodConversion!$AC13+GodConversion!$AF13),1,0)</f>
        <v>0</v>
      </c>
      <c r="DO18" s="271">
        <f>IF(AND(W18=0,AU18=0,BS18=0,EV16=0,FE16=0,FN16=0,FW16=0,GF16=0,CQ18=0,3&lt;GodConversion!$AC13+GodConversion!$AF13),1,0)</f>
        <v>0</v>
      </c>
      <c r="DP18" s="271">
        <f>IF(AND(X18=0,AV18=0,BT18=0,EW16=0,FF16=0,FO16=0,FX16=0,GG16=0,CR18=0,4&lt;GodConversion!$AC13+GodConversion!$AF13),1,0)</f>
        <v>0</v>
      </c>
      <c r="DQ18" s="677" t="s">
        <v>14</v>
      </c>
      <c r="DR18" s="356"/>
      <c r="DS18" s="356"/>
      <c r="DT18" s="356"/>
      <c r="DU18" s="146">
        <f>IF($AC18=1,IF(LOOKUP(CharacterSheet!$AK$7,AssociatedRef!$A$2:$A$130,AssociatedRef!$D$2:$D$130)="Yes",8,10),0)</f>
        <v>0</v>
      </c>
      <c r="DV18" s="146">
        <f>IF(AD18=1,IF(LOOKUP(CharacterSheet!$AK$7,AssociatedRef!$A$2:$A$130,AssociatedRef!$D$2:$D$130)="Yes",DU$15*4,DU$15*5),0)</f>
        <v>0</v>
      </c>
      <c r="DW18" s="146">
        <f>IF(AE18=1,IF(LOOKUP(CharacterSheet!$AK$7,AssociatedRef!$A$2:$A$130,AssociatedRef!$D$2:$D$130)="Yes",DV$15*4,DV$15*5),0)</f>
        <v>0</v>
      </c>
      <c r="DX18" s="146">
        <f>IF(AF18=1,IF(LOOKUP(CharacterSheet!$AK$7,AssociatedRef!$A$2:$A$130,AssociatedRef!$D$2:$D$130)="Yes",DW$15*4,DW$15*5),0)</f>
        <v>0</v>
      </c>
      <c r="DY18" s="146">
        <f>IF(AG18=1,IF(LOOKUP(CharacterSheet!$AK$7,AssociatedRef!$A$2:$A$130,AssociatedRef!$D$2:$D$130)="Yes",DX$15*4,DX$15*5),0)</f>
        <v>0</v>
      </c>
      <c r="DZ18" s="146">
        <f>IF(AH18=1,IF(LOOKUP(CharacterSheet!$AK$7,AssociatedRef!$A$2:$A$130,AssociatedRef!$D$2:$D$130)="Yes",DY$15*4,DY$15*5),0)</f>
        <v>0</v>
      </c>
      <c r="EA18" s="146">
        <f>IF(AI18=1,IF(LOOKUP(CharacterSheet!$AK$7,AssociatedRef!$A$2:$A$130,AssociatedRef!$D$2:$D$130)="Yes",DZ$15*4,DZ$15*5),0)</f>
        <v>0</v>
      </c>
      <c r="EB18" s="146">
        <f>IF(AJ18=1,IF(LOOKUP(CharacterSheet!$AK$7,AssociatedRef!$A$2:$A$130,AssociatedRef!$D$2:$D$130)="Yes",EA$15*4,EA$15*5),0)</f>
        <v>0</v>
      </c>
      <c r="EC18" s="146">
        <f>IF(AK18=1,IF(LOOKUP(CharacterSheet!$AK$7,AssociatedRef!$A$2:$A$130,AssociatedRef!$D$2:$D$130)="Yes",EB$15*4,EB$15*5),0)</f>
        <v>0</v>
      </c>
      <c r="ED18" s="146">
        <f>IF(AL18=1,IF(LOOKUP(CharacterSheet!$AK$7,AssociatedRef!$A$2:$A$130,AssociatedRef!$D$2:$D$130)="Yes",EC$15*4,EC$15*5),0)</f>
        <v>0</v>
      </c>
      <c r="EE18" s="149">
        <f>IF(AM18=1,IF(LOOKUP(CharacterSheet!$AK$7,AssociatedRef!$A$2:$A$130,AssociatedRef!$D$2:$D$130)="Yes",ED$15*4,ED$15*5),0)</f>
        <v>0</v>
      </c>
      <c r="EF18" s="677" t="s">
        <v>44</v>
      </c>
      <c r="EG18" s="356"/>
      <c r="EH18" s="356"/>
      <c r="EI18" s="356"/>
      <c r="EJ18" s="210">
        <f t="shared" si="11"/>
        <v>0</v>
      </c>
      <c r="EK18" s="210">
        <f t="shared" si="12"/>
        <v>0</v>
      </c>
      <c r="EL18" s="210">
        <f t="shared" si="13"/>
        <v>0</v>
      </c>
      <c r="EM18" s="210">
        <f t="shared" si="14"/>
        <v>0</v>
      </c>
      <c r="EN18" s="210">
        <f t="shared" si="15"/>
        <v>0</v>
      </c>
      <c r="EO18" s="702" t="s">
        <v>46</v>
      </c>
      <c r="EP18" s="703"/>
      <c r="EQ18" s="703"/>
      <c r="ER18" s="704"/>
      <c r="ES18" s="248"/>
      <c r="ET18" s="249"/>
      <c r="EU18" s="240"/>
      <c r="EV18" s="240"/>
      <c r="EW18" s="240"/>
      <c r="EX18" s="711" t="s">
        <v>46</v>
      </c>
      <c r="EY18" s="712"/>
      <c r="EZ18" s="712"/>
      <c r="FA18" s="714"/>
      <c r="FB18" s="236"/>
      <c r="FC18" s="237"/>
      <c r="FD18" s="237"/>
      <c r="FE18" s="237"/>
      <c r="FF18" s="238"/>
      <c r="FG18" s="690" t="s">
        <v>46</v>
      </c>
      <c r="FH18" s="356"/>
      <c r="FI18" s="356"/>
      <c r="FJ18" s="401"/>
      <c r="FK18" s="239"/>
      <c r="FL18" s="240"/>
      <c r="FM18" s="240"/>
      <c r="FN18" s="240"/>
      <c r="FO18" s="241"/>
      <c r="FP18" s="711" t="s">
        <v>46</v>
      </c>
      <c r="FQ18" s="712"/>
      <c r="FR18" s="712"/>
      <c r="FS18" s="713"/>
      <c r="FT18" s="236"/>
      <c r="FU18" s="237"/>
      <c r="FV18" s="237"/>
      <c r="FW18" s="237"/>
      <c r="FX18" s="238"/>
      <c r="FY18" s="677" t="s">
        <v>46</v>
      </c>
      <c r="FZ18" s="356"/>
      <c r="GA18" s="356"/>
      <c r="GB18" s="401"/>
      <c r="GC18" s="239"/>
      <c r="GD18" s="240"/>
      <c r="GE18" s="240"/>
      <c r="GF18" s="240"/>
      <c r="GG18" s="241"/>
      <c r="GK18" s="223" t="s">
        <v>46</v>
      </c>
      <c r="GL18" s="223">
        <f t="shared" si="8"/>
        <v>0</v>
      </c>
      <c r="GM18" s="223">
        <f>IF($GK18=Creation!$Q$28,1,0)</f>
        <v>0</v>
      </c>
      <c r="GN18" s="223">
        <f>IF($GK18=Creation!$Q$29,1,0)</f>
        <v>0</v>
      </c>
      <c r="GO18" s="223">
        <f>IF($GK18=Creation!$Q$30,1,0)</f>
        <v>0</v>
      </c>
      <c r="GP18" s="223">
        <f>IF($GK18=Creation!$Q$31,1,0)</f>
        <v>0</v>
      </c>
      <c r="GQ18" s="223">
        <f>IF($GK18=Creation!$Q$32,1,0)</f>
        <v>0</v>
      </c>
      <c r="GR18" s="223">
        <f>IF($GK18=Creation!$Q$33,1,0)</f>
        <v>0</v>
      </c>
    </row>
    <row r="19" spans="1:200" x14ac:dyDescent="0.25">
      <c r="A19" s="677" t="s">
        <v>16</v>
      </c>
      <c r="B19" s="356"/>
      <c r="C19" s="356"/>
      <c r="D19" s="356"/>
      <c r="E19" s="146">
        <f>IF(Creation!BO7+Creation!BQ7&gt;0,1,0)</f>
        <v>0</v>
      </c>
      <c r="F19" s="146">
        <f>IF(Creation!BO7+Creation!BQ7&gt;1,1,0)</f>
        <v>0</v>
      </c>
      <c r="G19" s="146">
        <f>IF(Creation!BO7+Creation!BQ7&gt;2,1,0)</f>
        <v>0</v>
      </c>
      <c r="H19" s="146">
        <f>IF(Creation!BO7+Creation!BQ7&gt;3,1,0)</f>
        <v>0</v>
      </c>
      <c r="I19" s="146">
        <f>IF(Creation!BO7+Creation!BQ7&gt;4,1,0)</f>
        <v>0</v>
      </c>
      <c r="J19" s="146">
        <f>IF(Creation!BO7+Creation!BQ7&gt;5,1,0)</f>
        <v>0</v>
      </c>
      <c r="K19" s="146">
        <f>IF(Creation!BO7+Creation!BQ7&gt;6,1,0)</f>
        <v>0</v>
      </c>
      <c r="L19" s="146">
        <f>IF(Creation!BO7+Creation!BQ7&gt;7,1,0)</f>
        <v>0</v>
      </c>
      <c r="M19" s="146">
        <f>IF(Creation!BO7+Creation!BQ7&gt;8,1,0)</f>
        <v>0</v>
      </c>
      <c r="N19" s="146">
        <f>IF(Creation!BO7+Creation!BQ7&gt;9,1,0)</f>
        <v>0</v>
      </c>
      <c r="O19" s="149">
        <f>IF(Creation!BO7+Creation!BQ7&gt;10,1,0)</f>
        <v>0</v>
      </c>
      <c r="P19" s="677" t="s">
        <v>45</v>
      </c>
      <c r="Q19" s="356"/>
      <c r="R19" s="356"/>
      <c r="S19" s="356"/>
      <c r="T19" s="146">
        <f>IF(Creation!AC14+Creation!AF14&gt;0,1,0)</f>
        <v>0</v>
      </c>
      <c r="U19" s="146">
        <f>IF(Creation!AC14+Creation!AF14&gt;1,1,0)</f>
        <v>0</v>
      </c>
      <c r="V19" s="146">
        <f>IF(Creation!AC14+Creation!AF14&gt;2,1,0)</f>
        <v>0</v>
      </c>
      <c r="W19" s="146">
        <f>IF(Creation!AC14+Creation!AF14&gt;3,1,0)</f>
        <v>0</v>
      </c>
      <c r="X19" s="147">
        <f>IF(Creation!AC14+Creation!AF14&gt;4,1,0)</f>
        <v>0</v>
      </c>
      <c r="Y19" s="677" t="s">
        <v>16</v>
      </c>
      <c r="Z19" s="356"/>
      <c r="AA19" s="356"/>
      <c r="AB19" s="401"/>
      <c r="AC19" s="239"/>
      <c r="AD19" s="240"/>
      <c r="AE19" s="240"/>
      <c r="AF19" s="240"/>
      <c r="AG19" s="240"/>
      <c r="AH19" s="240"/>
      <c r="AI19" s="240"/>
      <c r="AJ19" s="240"/>
      <c r="AK19" s="240"/>
      <c r="AL19" s="240"/>
      <c r="AM19" s="241"/>
      <c r="AN19" s="677" t="s">
        <v>45</v>
      </c>
      <c r="AO19" s="356"/>
      <c r="AP19" s="356"/>
      <c r="AQ19" s="401"/>
      <c r="AR19" s="239"/>
      <c r="AS19" s="240"/>
      <c r="AT19" s="240"/>
      <c r="AU19" s="240"/>
      <c r="AV19" s="241"/>
      <c r="AW19" s="690" t="s">
        <v>16</v>
      </c>
      <c r="AX19" s="356"/>
      <c r="AY19" s="356"/>
      <c r="AZ19" s="401"/>
      <c r="BA19" s="250"/>
      <c r="BB19" s="240"/>
      <c r="BC19" s="240"/>
      <c r="BD19" s="240"/>
      <c r="BE19" s="240"/>
      <c r="BF19" s="240"/>
      <c r="BG19" s="240"/>
      <c r="BH19" s="240"/>
      <c r="BI19" s="240"/>
      <c r="BJ19" s="240"/>
      <c r="BK19" s="241"/>
      <c r="BL19" s="677" t="s">
        <v>45</v>
      </c>
      <c r="BM19" s="356"/>
      <c r="BN19" s="356"/>
      <c r="BO19" s="401"/>
      <c r="BP19" s="250"/>
      <c r="BQ19" s="240"/>
      <c r="BR19" s="240"/>
      <c r="BS19" s="240"/>
      <c r="BT19" s="241"/>
      <c r="BU19" s="690" t="s">
        <v>16</v>
      </c>
      <c r="BV19" s="356"/>
      <c r="BW19" s="356"/>
      <c r="BX19" s="356"/>
      <c r="BY19" s="146">
        <f>IF(AND(E19=0,AC19=0,BA19=0,DemigodConversion!$BM7+DemigodConversion!$BO7+DemigodConversion!$BQ7&gt;0),1,0)</f>
        <v>0</v>
      </c>
      <c r="BZ19" s="146">
        <f>IF(SUM($BY19:BY19)=SUM(DemigodConversion!$BO7:$BR7),0,IF(AND(F19=0,AD19=0,BB19=0,DemigodConversion!$BM7+DemigodConversion!$BO7+DemigodConversion!$BQ7&gt;BY$15),1,0))</f>
        <v>0</v>
      </c>
      <c r="CA19" s="146">
        <f>IF(SUM($BY19:BZ19)=SUM(DemigodConversion!$BO7:$BR7),0,IF(AND(G19=0,AE19=0,BC19=0,DemigodConversion!$BM7+DemigodConversion!$BO7+DemigodConversion!$BQ7&gt;BZ$15),1,0))</f>
        <v>0</v>
      </c>
      <c r="CB19" s="146">
        <f>IF(SUM($BY19:CA19)=SUM(DemigodConversion!$BO7:$BR7),0,IF(AND(H19=0,AF19=0,BD19=0,DemigodConversion!$BM7+DemigodConversion!$BO7+DemigodConversion!$BQ7&gt;CA$15),1,0))</f>
        <v>0</v>
      </c>
      <c r="CC19" s="146">
        <f>IF(SUM($BY19:CB19)=SUM(DemigodConversion!$BO7:$BR7),0,IF(AND(I19=0,AG19=0,BE19=0,DemigodConversion!$BM7+DemigodConversion!$BO7+DemigodConversion!$BQ7&gt;CB$15),1,0))</f>
        <v>0</v>
      </c>
      <c r="CD19" s="146">
        <f>IF(SUM($BY19:CC19)=SUM(DemigodConversion!$BO7:$BR7),0,IF(AND(J19=0,AH19=0,BF19=0,DemigodConversion!$BM7+DemigodConversion!$BO7+DemigodConversion!$BQ7&gt;CC$15),1,0))</f>
        <v>0</v>
      </c>
      <c r="CE19" s="146">
        <f>IF(SUM($BY19:CD19)=SUM(DemigodConversion!$BO7:$BR7),0,IF(AND(K19=0,AI19=0,BG19=0,DemigodConversion!$BM7+DemigodConversion!$BO7+DemigodConversion!$BQ7&gt;CD$15),1,0))</f>
        <v>0</v>
      </c>
      <c r="CF19" s="146">
        <f>IF(SUM($BY19:CE19)=SUM(DemigodConversion!$BO7:$BR7),0,IF(AND(L19=0,AJ19=0,BH19=0,DemigodConversion!$BM7+DemigodConversion!$BO7+DemigodConversion!$BQ7&gt;CE$15),1,0))</f>
        <v>0</v>
      </c>
      <c r="CG19" s="146">
        <f>IF(SUM($BY19:CF19)=SUM(DemigodConversion!$BO7:$BR7),0,IF(AND(M19=0,AK19=0,BI19=0,DemigodConversion!$BM7+DemigodConversion!$BO7+DemigodConversion!$BQ7&gt;CF$15),1,0))</f>
        <v>0</v>
      </c>
      <c r="CH19" s="146">
        <f>IF(SUM($BY19:CG19)=SUM(DemigodConversion!$BO7:$BR7),0,IF(AND(N19=0,AL19=0,BJ19=0,DemigodConversion!$BM7+DemigodConversion!$BO7+DemigodConversion!$BQ7&gt;CG$15),1,0))</f>
        <v>0</v>
      </c>
      <c r="CI19" s="147">
        <f>IF(SUM($BY19:CH19)=SUM(DemigodConversion!$BO7:$BR7),0,IF(AND(O19=0,AM19=0,BK19=0,DemigodConversion!$BM7+DemigodConversion!$BO7+DemigodConversion!$BQ7&gt;CH$15),1,0))</f>
        <v>0</v>
      </c>
      <c r="CJ19" s="677" t="s">
        <v>45</v>
      </c>
      <c r="CK19" s="356"/>
      <c r="CL19" s="356"/>
      <c r="CM19" s="356"/>
      <c r="CN19" s="229">
        <f>IF(AND(T19=0,AR19=0,BP19=0,FB17=0,FK17=0,FT17=0,GC17=0,ES17=0,DemigodConversion!$AC14+DemigodConversion!$AF14&gt;0),1,0)</f>
        <v>0</v>
      </c>
      <c r="CO19" s="271">
        <f>IF(AND(U19=0,AS19=0,BQ19=0,FC17=0,FL17=0,FU17=0,GD17=0,ET17=0,DemigodConversion!$AC14+DemigodConversion!$AF14&gt;1),1,0)</f>
        <v>0</v>
      </c>
      <c r="CP19" s="271">
        <f>IF(AND(V19=0,AT19=0,BR19=0,FD17=0,FM17=0,FV17=0,GE17=0,EU17=0,DemigodConversion!$AC14+DemigodConversion!$AF14&gt;2),1,0)</f>
        <v>0</v>
      </c>
      <c r="CQ19" s="271">
        <f>IF(AND(W19=0,AU19=0,BS19=0,FE17=0,FN17=0,FW17=0,GF17=0,EV17=0,DemigodConversion!$AC14+DemigodConversion!$AF14&gt;3),1,0)</f>
        <v>0</v>
      </c>
      <c r="CR19" s="271">
        <f>IF(AND(X19=0,AV19=0,BT19=0,FF17=0,FO17=0,FX17=0,GG17=0,EW17=0,DemigodConversion!$AC14+DemigodConversion!$AF14&gt;4),1,0)</f>
        <v>0</v>
      </c>
      <c r="CS19" s="690" t="s">
        <v>16</v>
      </c>
      <c r="CT19" s="356"/>
      <c r="CU19" s="356"/>
      <c r="CV19" s="356"/>
      <c r="CW19" s="146">
        <f>IF(AND(E19=0,AC19=0,BA19=0,BY19=0,0&lt;SUM(GodConversion!$BM7:$BR7)),1,0)</f>
        <v>0</v>
      </c>
      <c r="CX19" s="146">
        <f>IF(AND(F19=0,AD19=0,BB19=0,BZ19=0,CW$15&lt;SUM(GodConversion!$BM7:$BR7)),1,0)</f>
        <v>0</v>
      </c>
      <c r="CY19" s="146">
        <f>IF(AND(G19=0,AE19=0,BC19=0,CA19=0,CX$15&lt;SUM(GodConversion!$BM7:$BR7)),1,0)</f>
        <v>0</v>
      </c>
      <c r="CZ19" s="146">
        <f>IF(AND(H19=0,AF19=0,BD19=0,CB19=0,CY$15&lt;SUM(GodConversion!$BM7:$BR7)),1,0)</f>
        <v>0</v>
      </c>
      <c r="DA19" s="146">
        <f>IF(AND(I19=0,AG19=0,BE19=0,CC19=0,CZ$15&lt;SUM(GodConversion!$BM7:$BR7)),1,0)</f>
        <v>0</v>
      </c>
      <c r="DB19" s="146">
        <f>IF(AND(J19=0,AH19=0,BF19=0,CD19=0,DA$15&lt;SUM(GodConversion!$BM7:$BR7)),1,0)</f>
        <v>0</v>
      </c>
      <c r="DC19" s="146">
        <f>IF(AND(K19=0,AI19=0,BG19=0,CE19=0,DB$15&lt;SUM(GodConversion!$BM7:$BR7)),1,0)</f>
        <v>0</v>
      </c>
      <c r="DD19" s="146">
        <f>IF(AND(L19=0,AJ19=0,BH19=0,CF19=0,DC$15&lt;SUM(GodConversion!$BM7:$BR7)),1,0)</f>
        <v>0</v>
      </c>
      <c r="DE19" s="146">
        <f>IF(AND(M19=0,AK19=0,BI19=0,CG19=0,DD$15&lt;SUM(GodConversion!$BM7:$BR7)),1,0)</f>
        <v>0</v>
      </c>
      <c r="DF19" s="146">
        <f>IF(AND(N19=0,AL19=0,BJ19=0,CH19=0,DE$15&lt;SUM(GodConversion!$BM7:$BR7)),1,0)</f>
        <v>0</v>
      </c>
      <c r="DG19" s="149">
        <f>IF(AND(O19=0,AM19=0,BK19=0,CI19=0,DF$15&lt;SUM(GodConversion!$BM7:$BR7)),1,0)</f>
        <v>0</v>
      </c>
      <c r="DH19" s="690" t="s">
        <v>45</v>
      </c>
      <c r="DI19" s="356"/>
      <c r="DJ19" s="356"/>
      <c r="DK19" s="356"/>
      <c r="DL19" s="229">
        <f>IF(AND(T19=0,AR19=0,BP19=0,ES17=0,FB17=0,FK17=0,FT17=0,GC17=0,CN19=0,0&lt;GodConversion!$AC14+GodConversion!$AF14),1,0)</f>
        <v>0</v>
      </c>
      <c r="DM19" s="271">
        <f>IF(AND(U19=0,AS19=0,BQ19=0,ET17=0,FC17=0,FL17=0,FU17=0,GD17=0,CO19=0,1&lt;GodConversion!$AC14+GodConversion!$AF14),1,0)</f>
        <v>0</v>
      </c>
      <c r="DN19" s="271">
        <f>IF(AND(V19=0,AT19=0,BR19=0,EU17=0,FD17=0,FM17=0,FV17=0,GE17=0,CP19=0,2&lt;GodConversion!$AC14+GodConversion!$AF14),1,0)</f>
        <v>0</v>
      </c>
      <c r="DO19" s="271">
        <f>IF(AND(W19=0,AU19=0,BS19=0,EV17=0,FE17=0,FN17=0,FW17=0,GF17=0,CQ19=0,3&lt;GodConversion!$AC14+GodConversion!$AF14),1,0)</f>
        <v>0</v>
      </c>
      <c r="DP19" s="271">
        <f>IF(AND(X19=0,AV19=0,BT19=0,EW17=0,FF17=0,FO17=0,FX17=0,GG17=0,CR19=0,4&lt;GodConversion!$AC14+GodConversion!$AF14),1,0)</f>
        <v>0</v>
      </c>
      <c r="DQ19" s="677" t="s">
        <v>16</v>
      </c>
      <c r="DR19" s="356"/>
      <c r="DS19" s="356"/>
      <c r="DT19" s="356"/>
      <c r="DU19" s="146">
        <f>IF($AC19=1,IF(LOOKUP(CharacterSheet!$AK$7,AssociatedRef!$A$2:$A$130,AssociatedRef!$E$2:$E$130)="Yes",8,10),0)</f>
        <v>0</v>
      </c>
      <c r="DV19" s="146">
        <f>IF(AD19=1,IF(LOOKUP(CharacterSheet!$AK$7,AssociatedRef!$A$2:$A$130,AssociatedRef!$E$2:$E$130)="Yes",DU$15*4,DU$15*5),0)</f>
        <v>0</v>
      </c>
      <c r="DW19" s="146">
        <f>IF(AE19=1,IF(LOOKUP(CharacterSheet!$AK$7,AssociatedRef!$A$2:$A$130,AssociatedRef!$E$2:$E$130)="Yes",DV$15*4,DV$15*5),0)</f>
        <v>0</v>
      </c>
      <c r="DX19" s="146">
        <f>IF(AF19=1,IF(LOOKUP(CharacterSheet!$AK$7,AssociatedRef!$A$2:$A$130,AssociatedRef!$E$2:$E$130)="Yes",DW$15*4,DW$15*5),0)</f>
        <v>0</v>
      </c>
      <c r="DY19" s="146">
        <f>IF(AG19=1,IF(LOOKUP(CharacterSheet!$AK$7,AssociatedRef!$A$2:$A$130,AssociatedRef!$E$2:$E$130)="Yes",DX$15*4,DX$15*5),0)</f>
        <v>0</v>
      </c>
      <c r="DZ19" s="146">
        <f>IF(AH19=1,IF(LOOKUP(CharacterSheet!$AK$7,AssociatedRef!$A$2:$A$130,AssociatedRef!$E$2:$E$130)="Yes",DY$15*4,DY$15*5),0)</f>
        <v>0</v>
      </c>
      <c r="EA19" s="146">
        <f>IF(AI19=1,IF(LOOKUP(CharacterSheet!$AK$7,AssociatedRef!$A$2:$A$130,AssociatedRef!$E$2:$E$130)="Yes",DZ$15*4,DZ$15*5),0)</f>
        <v>0</v>
      </c>
      <c r="EB19" s="146">
        <f>IF(AJ19=1,IF(LOOKUP(CharacterSheet!$AK$7,AssociatedRef!$A$2:$A$130,AssociatedRef!$E$2:$E$130)="Yes",EA$15*4,EA$15*5),0)</f>
        <v>0</v>
      </c>
      <c r="EC19" s="146">
        <f>IF(AK19=1,IF(LOOKUP(CharacterSheet!$AK$7,AssociatedRef!$A$2:$A$130,AssociatedRef!$E$2:$E$130)="Yes",EB$15*4,EB$15*5),0)</f>
        <v>0</v>
      </c>
      <c r="ED19" s="146">
        <f>IF(AL19=1,IF(LOOKUP(CharacterSheet!$AK$7,AssociatedRef!$A$2:$A$130,AssociatedRef!$E$2:$E$130)="Yes",EC$15*4,EC$15*5),0)</f>
        <v>0</v>
      </c>
      <c r="EE19" s="149">
        <f>IF(AM19=1,IF(LOOKUP(CharacterSheet!$AK$7,AssociatedRef!$A$2:$A$130,AssociatedRef!$E$2:$E$130)="Yes",ED$15*4,ED$15*5),0)</f>
        <v>0</v>
      </c>
      <c r="EF19" s="677" t="s">
        <v>45</v>
      </c>
      <c r="EG19" s="356"/>
      <c r="EH19" s="356"/>
      <c r="EI19" s="356"/>
      <c r="EJ19" s="210">
        <f t="shared" si="11"/>
        <v>0</v>
      </c>
      <c r="EK19" s="210">
        <f t="shared" si="12"/>
        <v>0</v>
      </c>
      <c r="EL19" s="210">
        <f t="shared" si="13"/>
        <v>0</v>
      </c>
      <c r="EM19" s="210">
        <f t="shared" si="14"/>
        <v>0</v>
      </c>
      <c r="EN19" s="210">
        <f t="shared" si="15"/>
        <v>0</v>
      </c>
      <c r="EO19" s="702" t="s">
        <v>47</v>
      </c>
      <c r="EP19" s="703"/>
      <c r="EQ19" s="703"/>
      <c r="ER19" s="704"/>
      <c r="ES19" s="248"/>
      <c r="ET19" s="249"/>
      <c r="EU19" s="240"/>
      <c r="EV19" s="240"/>
      <c r="EW19" s="240"/>
      <c r="EX19" s="677" t="s">
        <v>47</v>
      </c>
      <c r="EY19" s="356"/>
      <c r="EZ19" s="356"/>
      <c r="FA19" s="357"/>
      <c r="FB19" s="239"/>
      <c r="FC19" s="240"/>
      <c r="FD19" s="240"/>
      <c r="FE19" s="240"/>
      <c r="FF19" s="241"/>
      <c r="FG19" s="721" t="s">
        <v>47</v>
      </c>
      <c r="FH19" s="712"/>
      <c r="FI19" s="712"/>
      <c r="FJ19" s="713"/>
      <c r="FK19" s="236"/>
      <c r="FL19" s="237"/>
      <c r="FM19" s="237"/>
      <c r="FN19" s="237"/>
      <c r="FO19" s="238"/>
      <c r="FP19" s="677" t="s">
        <v>47</v>
      </c>
      <c r="FQ19" s="356"/>
      <c r="FR19" s="356"/>
      <c r="FS19" s="401"/>
      <c r="FT19" s="239"/>
      <c r="FU19" s="240"/>
      <c r="FV19" s="240"/>
      <c r="FW19" s="240"/>
      <c r="FX19" s="241"/>
      <c r="FY19" s="711" t="s">
        <v>47</v>
      </c>
      <c r="FZ19" s="712"/>
      <c r="GA19" s="712"/>
      <c r="GB19" s="713"/>
      <c r="GC19" s="236"/>
      <c r="GD19" s="237"/>
      <c r="GE19" s="237"/>
      <c r="GF19" s="237"/>
      <c r="GG19" s="238"/>
      <c r="GK19" s="223" t="s">
        <v>47</v>
      </c>
      <c r="GL19" s="223">
        <f t="shared" si="8"/>
        <v>0</v>
      </c>
      <c r="GM19" s="223">
        <f>IF($GK19=Creation!$Q$28,1,0)</f>
        <v>0</v>
      </c>
      <c r="GN19" s="223">
        <f>IF($GK19=Creation!$Q$29,1,0)</f>
        <v>0</v>
      </c>
      <c r="GO19" s="223">
        <f>IF($GK19=Creation!$Q$30,1,0)</f>
        <v>0</v>
      </c>
      <c r="GP19" s="223">
        <f>IF($GK19=Creation!$Q$31,1,0)</f>
        <v>0</v>
      </c>
      <c r="GQ19" s="223">
        <f>IF($GK19=Creation!$Q$32,1,0)</f>
        <v>0</v>
      </c>
      <c r="GR19" s="223">
        <f>IF($GK19=Creation!$Q$33,1,0)</f>
        <v>0</v>
      </c>
    </row>
    <row r="20" spans="1:200" ht="15" customHeight="1" x14ac:dyDescent="0.25">
      <c r="A20" s="677" t="s">
        <v>17</v>
      </c>
      <c r="B20" s="356"/>
      <c r="C20" s="356"/>
      <c r="D20" s="356"/>
      <c r="E20" s="146">
        <f>IF(Creation!BO8+Creation!BQ8&gt;0,1,0)</f>
        <v>0</v>
      </c>
      <c r="F20" s="146">
        <f>IF(Creation!BO8+Creation!BQ8&gt;1,1,0)</f>
        <v>0</v>
      </c>
      <c r="G20" s="146">
        <f>IF(Creation!BO8+Creation!BQ8&gt;2,1,0)</f>
        <v>0</v>
      </c>
      <c r="H20" s="146">
        <f>IF(Creation!BO8+Creation!BQ8&gt;3,1,0)</f>
        <v>0</v>
      </c>
      <c r="I20" s="146">
        <f>IF(Creation!BO8+Creation!BQ8&gt;4,1,0)</f>
        <v>0</v>
      </c>
      <c r="J20" s="146">
        <f>IF(Creation!BO8+Creation!BQ8&gt;5,1,0)</f>
        <v>0</v>
      </c>
      <c r="K20" s="146">
        <f>IF(Creation!BO8+Creation!BQ8&gt;6,1,0)</f>
        <v>0</v>
      </c>
      <c r="L20" s="146">
        <f>IF(Creation!BO8+Creation!BQ8&gt;7,1,0)</f>
        <v>0</v>
      </c>
      <c r="M20" s="146">
        <f>IF(Creation!BO8+Creation!BQ8&gt;8,1,0)</f>
        <v>0</v>
      </c>
      <c r="N20" s="146">
        <f>IF(Creation!BO8+Creation!BQ8&gt;9,1,0)</f>
        <v>0</v>
      </c>
      <c r="O20" s="149">
        <f>IF(Creation!BO8+Creation!BQ8&gt;10,1,0)</f>
        <v>0</v>
      </c>
      <c r="P20" s="677" t="s">
        <v>46</v>
      </c>
      <c r="Q20" s="356"/>
      <c r="R20" s="356"/>
      <c r="S20" s="356"/>
      <c r="T20" s="146">
        <f>IF(Creation!AC15+Creation!AF15&gt;0,1,0)</f>
        <v>0</v>
      </c>
      <c r="U20" s="146">
        <f>IF(Creation!AC15+Creation!AF15&gt;1,1,0)</f>
        <v>0</v>
      </c>
      <c r="V20" s="146">
        <f>IF(Creation!AC15+Creation!AF15&gt;2,1,0)</f>
        <v>0</v>
      </c>
      <c r="W20" s="146">
        <f>IF(Creation!AC15+Creation!AF15&gt;3,1,0)</f>
        <v>0</v>
      </c>
      <c r="X20" s="147">
        <f>IF(Creation!AC15+Creation!AF15&gt;4,1,0)</f>
        <v>0</v>
      </c>
      <c r="Y20" s="677" t="s">
        <v>17</v>
      </c>
      <c r="Z20" s="356"/>
      <c r="AA20" s="356"/>
      <c r="AB20" s="401"/>
      <c r="AC20" s="239"/>
      <c r="AD20" s="240"/>
      <c r="AE20" s="240"/>
      <c r="AF20" s="240"/>
      <c r="AG20" s="240"/>
      <c r="AH20" s="240"/>
      <c r="AI20" s="240"/>
      <c r="AJ20" s="240"/>
      <c r="AK20" s="240"/>
      <c r="AL20" s="240"/>
      <c r="AM20" s="241"/>
      <c r="AN20" s="677" t="s">
        <v>46</v>
      </c>
      <c r="AO20" s="356"/>
      <c r="AP20" s="356"/>
      <c r="AQ20" s="401"/>
      <c r="AR20" s="239"/>
      <c r="AS20" s="240"/>
      <c r="AT20" s="240"/>
      <c r="AU20" s="240"/>
      <c r="AV20" s="241"/>
      <c r="AW20" s="690" t="s">
        <v>17</v>
      </c>
      <c r="AX20" s="356"/>
      <c r="AY20" s="356"/>
      <c r="AZ20" s="401"/>
      <c r="BA20" s="250"/>
      <c r="BB20" s="240"/>
      <c r="BC20" s="240"/>
      <c r="BD20" s="240"/>
      <c r="BE20" s="240"/>
      <c r="BF20" s="240"/>
      <c r="BG20" s="240"/>
      <c r="BH20" s="240"/>
      <c r="BI20" s="240"/>
      <c r="BJ20" s="240"/>
      <c r="BK20" s="241"/>
      <c r="BL20" s="677" t="s">
        <v>46</v>
      </c>
      <c r="BM20" s="356"/>
      <c r="BN20" s="356"/>
      <c r="BO20" s="401"/>
      <c r="BP20" s="250"/>
      <c r="BQ20" s="240"/>
      <c r="BR20" s="240"/>
      <c r="BS20" s="240"/>
      <c r="BT20" s="241"/>
      <c r="BU20" s="690" t="s">
        <v>17</v>
      </c>
      <c r="BV20" s="356"/>
      <c r="BW20" s="356"/>
      <c r="BX20" s="356"/>
      <c r="BY20" s="146">
        <f>IF(AND(E20=0,AC20=0,BA20=0,DemigodConversion!$BM8+DemigodConversion!$BO8+DemigodConversion!$BQ8&gt;0),1,0)</f>
        <v>0</v>
      </c>
      <c r="BZ20" s="146">
        <f>IF(SUM($BY20:BY20)=SUM(DemigodConversion!$BO8:$BR8),0,IF(AND(F20=0,AD20=0,BB20=0,DemigodConversion!$BM8+DemigodConversion!$BO8+DemigodConversion!$BQ8&gt;BY$15),1,0))</f>
        <v>0</v>
      </c>
      <c r="CA20" s="146">
        <f>IF(SUM($BY20:BZ20)=SUM(DemigodConversion!$BO8:$BR8),0,IF(AND(G20=0,AE20=0,BC20=0,DemigodConversion!$BM8+DemigodConversion!$BO8+DemigodConversion!$BQ8&gt;BZ$15),1,0))</f>
        <v>0</v>
      </c>
      <c r="CB20" s="146">
        <f>IF(SUM($BY20:CA20)=SUM(DemigodConversion!$BO8:$BR8),0,IF(AND(H20=0,AF20=0,BD20=0,DemigodConversion!$BM8+DemigodConversion!$BO8+DemigodConversion!$BQ8&gt;CA$15),1,0))</f>
        <v>0</v>
      </c>
      <c r="CC20" s="146">
        <f>IF(SUM($BY20:CB20)=SUM(DemigodConversion!$BO8:$BR8),0,IF(AND(I20=0,AG20=0,BE20=0,DemigodConversion!$BM8+DemigodConversion!$BO8+DemigodConversion!$BQ8&gt;CB$15),1,0))</f>
        <v>0</v>
      </c>
      <c r="CD20" s="146">
        <f>IF(SUM($BY20:CC20)=SUM(DemigodConversion!$BO8:$BR8),0,IF(AND(J20=0,AH20=0,BF20=0,DemigodConversion!$BM8+DemigodConversion!$BO8+DemigodConversion!$BQ8&gt;CC$15),1,0))</f>
        <v>0</v>
      </c>
      <c r="CE20" s="146">
        <f>IF(SUM($BY20:CD20)=SUM(DemigodConversion!$BO8:$BR8),0,IF(AND(K20=0,AI20=0,BG20=0,DemigodConversion!$BM8+DemigodConversion!$BO8+DemigodConversion!$BQ8&gt;CD$15),1,0))</f>
        <v>0</v>
      </c>
      <c r="CF20" s="146">
        <f>IF(SUM($BY20:CE20)=SUM(DemigodConversion!$BO8:$BR8),0,IF(AND(L20=0,AJ20=0,BH20=0,DemigodConversion!$BM8+DemigodConversion!$BO8+DemigodConversion!$BQ8&gt;CE$15),1,0))</f>
        <v>0</v>
      </c>
      <c r="CG20" s="146">
        <f>IF(SUM($BY20:CF20)=SUM(DemigodConversion!$BO8:$BR8),0,IF(AND(M20=0,AK20=0,BI20=0,DemigodConversion!$BM8+DemigodConversion!$BO8+DemigodConversion!$BQ8&gt;CF$15),1,0))</f>
        <v>0</v>
      </c>
      <c r="CH20" s="146">
        <f>IF(SUM($BY20:CG20)=SUM(DemigodConversion!$BO8:$BR8),0,IF(AND(N20=0,AL20=0,BJ20=0,DemigodConversion!$BM8+DemigodConversion!$BO8+DemigodConversion!$BQ8&gt;CG$15),1,0))</f>
        <v>0</v>
      </c>
      <c r="CI20" s="147">
        <f>IF(SUM($BY20:CH20)=SUM(DemigodConversion!$BO8:$BR8),0,IF(AND(O20=0,AM20=0,BK20=0,DemigodConversion!$BM8+DemigodConversion!$BO8+DemigodConversion!$BQ8&gt;CH$15),1,0))</f>
        <v>0</v>
      </c>
      <c r="CJ20" s="677" t="s">
        <v>46</v>
      </c>
      <c r="CK20" s="356"/>
      <c r="CL20" s="356"/>
      <c r="CM20" s="356"/>
      <c r="CN20" s="229">
        <f>IF(AND(T20=0,AR20=0,BP20=0,FB18=0,FK18=0,FT18=0,GC18=0,ES18=0,DemigodConversion!$AC15+DemigodConversion!$AF15&gt;0),1,0)</f>
        <v>0</v>
      </c>
      <c r="CO20" s="271">
        <f>IF(AND(U20=0,AS20=0,BQ20=0,FC18=0,FL18=0,FU18=0,GD18=0,ET18=0,DemigodConversion!$AC15+DemigodConversion!$AF15&gt;1),1,0)</f>
        <v>0</v>
      </c>
      <c r="CP20" s="271">
        <f>IF(AND(V20=0,AT20=0,BR20=0,FD18=0,FM18=0,FV18=0,GE18=0,EU18=0,DemigodConversion!$AC15+DemigodConversion!$AF15&gt;2),1,0)</f>
        <v>0</v>
      </c>
      <c r="CQ20" s="271">
        <f>IF(AND(W20=0,AU20=0,BS20=0,FE18=0,FN18=0,FW18=0,GF18=0,EV18=0,DemigodConversion!$AC15+DemigodConversion!$AF15&gt;3),1,0)</f>
        <v>0</v>
      </c>
      <c r="CR20" s="271">
        <f>IF(AND(X20=0,AV20=0,BT20=0,FF18=0,FO18=0,FX18=0,GG18=0,EW18=0,DemigodConversion!$AC15+DemigodConversion!$AF15&gt;4),1,0)</f>
        <v>0</v>
      </c>
      <c r="CS20" s="690" t="s">
        <v>17</v>
      </c>
      <c r="CT20" s="356"/>
      <c r="CU20" s="356"/>
      <c r="CV20" s="356"/>
      <c r="CW20" s="146">
        <f>IF(AND(E20=0,AC20=0,BA20=0,BY20=0,0&lt;SUM(GodConversion!$BM8:$BR8)),1,0)</f>
        <v>0</v>
      </c>
      <c r="CX20" s="146">
        <f>IF(AND(F20=0,AD20=0,BB20=0,BZ20=0,CW$15&lt;SUM(GodConversion!$BM8:$BR8)),1,0)</f>
        <v>0</v>
      </c>
      <c r="CY20" s="146">
        <f>IF(AND(G20=0,AE20=0,BC20=0,CA20=0,CX$15&lt;SUM(GodConversion!$BM8:$BR8)),1,0)</f>
        <v>0</v>
      </c>
      <c r="CZ20" s="146">
        <f>IF(AND(H20=0,AF20=0,BD20=0,CB20=0,CY$15&lt;SUM(GodConversion!$BM8:$BR8)),1,0)</f>
        <v>0</v>
      </c>
      <c r="DA20" s="146">
        <f>IF(AND(I20=0,AG20=0,BE20=0,CC20=0,CZ$15&lt;SUM(GodConversion!$BM8:$BR8)),1,0)</f>
        <v>0</v>
      </c>
      <c r="DB20" s="146">
        <f>IF(AND(J20=0,AH20=0,BF20=0,CD20=0,DA$15&lt;SUM(GodConversion!$BM8:$BR8)),1,0)</f>
        <v>0</v>
      </c>
      <c r="DC20" s="146">
        <f>IF(AND(K20=0,AI20=0,BG20=0,CE20=0,DB$15&lt;SUM(GodConversion!$BM8:$BR8)),1,0)</f>
        <v>0</v>
      </c>
      <c r="DD20" s="146">
        <f>IF(AND(L20=0,AJ20=0,BH20=0,CF20=0,DC$15&lt;SUM(GodConversion!$BM8:$BR8)),1,0)</f>
        <v>0</v>
      </c>
      <c r="DE20" s="146">
        <f>IF(AND(M20=0,AK20=0,BI20=0,CG20=0,DD$15&lt;SUM(GodConversion!$BM8:$BR8)),1,0)</f>
        <v>0</v>
      </c>
      <c r="DF20" s="146">
        <f>IF(AND(N20=0,AL20=0,BJ20=0,CH20=0,DE$15&lt;SUM(GodConversion!$BM8:$BR8)),1,0)</f>
        <v>0</v>
      </c>
      <c r="DG20" s="149">
        <f>IF(AND(O20=0,AM20=0,BK20=0,CI20=0,DF$15&lt;SUM(GodConversion!$BM8:$BR8)),1,0)</f>
        <v>0</v>
      </c>
      <c r="DH20" s="690" t="s">
        <v>46</v>
      </c>
      <c r="DI20" s="356"/>
      <c r="DJ20" s="356"/>
      <c r="DK20" s="356"/>
      <c r="DL20" s="229">
        <f>IF(AND(T20=0,AR20=0,BP20=0,ES18=0,FB18=0,FK18=0,FT18=0,GC18=0,CN20=0,0&lt;GodConversion!$AC15+GodConversion!$AF15),1,0)</f>
        <v>0</v>
      </c>
      <c r="DM20" s="271">
        <f>IF(AND(U20=0,AS20=0,BQ20=0,ET18=0,FC18=0,FL18=0,FU18=0,GD18=0,CO20=0,1&lt;GodConversion!$AC15+GodConversion!$AF15),1,0)</f>
        <v>0</v>
      </c>
      <c r="DN20" s="271">
        <f>IF(AND(V20=0,AT20=0,BR20=0,EU18=0,FD18=0,FM18=0,FV18=0,GE18=0,CP20=0,2&lt;GodConversion!$AC15+GodConversion!$AF15),1,0)</f>
        <v>0</v>
      </c>
      <c r="DO20" s="271">
        <f>IF(AND(W20=0,AU20=0,BS20=0,EV18=0,FE18=0,FN18=0,FW18=0,GF18=0,CQ20=0,3&lt;GodConversion!$AC15+GodConversion!$AF15),1,0)</f>
        <v>0</v>
      </c>
      <c r="DP20" s="271">
        <f>IF(AND(X20=0,AV20=0,BT20=0,EW18=0,FF18=0,FO18=0,FX18=0,GG18=0,CR20=0,4&lt;GodConversion!$AC15+GodConversion!$AF15),1,0)</f>
        <v>0</v>
      </c>
      <c r="DQ20" s="677" t="s">
        <v>17</v>
      </c>
      <c r="DR20" s="356"/>
      <c r="DS20" s="356"/>
      <c r="DT20" s="356"/>
      <c r="DU20" s="146">
        <f>IF($AC20=1,IF(LOOKUP(CharacterSheet!$AK$7,AssociatedRef!$A$2:$A$130,AssociatedRef!$F$2:$F$130)="Yes",8,10),0)</f>
        <v>0</v>
      </c>
      <c r="DV20" s="146">
        <f>IF(AD20=1,IF(LOOKUP(CharacterSheet!$AK$7,AssociatedRef!$A$2:$A$130,AssociatedRef!$F$2:$F$130)="Yes",DU$15*4,DU$15*5),0)</f>
        <v>0</v>
      </c>
      <c r="DW20" s="146">
        <f>IF(AE20=1,IF(LOOKUP(CharacterSheet!$AK$7,AssociatedRef!$A$2:$A$130,AssociatedRef!$F$2:$F$130)="Yes",DV$15*4,DV$15*5),0)</f>
        <v>0</v>
      </c>
      <c r="DX20" s="146">
        <f>IF(AF20=1,IF(LOOKUP(CharacterSheet!$AK$7,AssociatedRef!$A$2:$A$130,AssociatedRef!$F$2:$F$130)="Yes",DW$15*4,DW$15*5),0)</f>
        <v>0</v>
      </c>
      <c r="DY20" s="146">
        <f>IF(AG20=1,IF(LOOKUP(CharacterSheet!$AK$7,AssociatedRef!$A$2:$A$130,AssociatedRef!$F$2:$F$130)="Yes",DX$15*4,DX$15*5),0)</f>
        <v>0</v>
      </c>
      <c r="DZ20" s="146">
        <f>IF(AH20=1,IF(LOOKUP(CharacterSheet!$AK$7,AssociatedRef!$A$2:$A$130,AssociatedRef!$F$2:$F$130)="Yes",DY$15*4,DY$15*5),0)</f>
        <v>0</v>
      </c>
      <c r="EA20" s="146">
        <f>IF(AI20=1,IF(LOOKUP(CharacterSheet!$AK$7,AssociatedRef!$A$2:$A$130,AssociatedRef!$F$2:$F$130)="Yes",DZ$15*4,DZ$15*5),0)</f>
        <v>0</v>
      </c>
      <c r="EB20" s="146">
        <f>IF(AJ20=1,IF(LOOKUP(CharacterSheet!$AK$7,AssociatedRef!$A$2:$A$130,AssociatedRef!$F$2:$F$130)="Yes",EA$15*4,EA$15*5),0)</f>
        <v>0</v>
      </c>
      <c r="EC20" s="146">
        <f>IF(AK20=1,IF(LOOKUP(CharacterSheet!$AK$7,AssociatedRef!$A$2:$A$130,AssociatedRef!$F$2:$F$130)="Yes",EB$15*4,EB$15*5),0)</f>
        <v>0</v>
      </c>
      <c r="ED20" s="146">
        <f>IF(AL20=1,IF(LOOKUP(CharacterSheet!$AK$7,AssociatedRef!$A$2:$A$130,AssociatedRef!$F$2:$F$130)="Yes",EC$15*4,EC$15*5),0)</f>
        <v>0</v>
      </c>
      <c r="EE20" s="149">
        <f>IF(AM20=1,IF(LOOKUP(CharacterSheet!$AK$7,AssociatedRef!$A$2:$A$130,AssociatedRef!$F$2:$F$130)="Yes",ED$15*4,ED$15*5),0)</f>
        <v>0</v>
      </c>
      <c r="EF20" s="677" t="s">
        <v>46</v>
      </c>
      <c r="EG20" s="356"/>
      <c r="EH20" s="356"/>
      <c r="EI20" s="356"/>
      <c r="EJ20" s="210">
        <f t="shared" si="11"/>
        <v>0</v>
      </c>
      <c r="EK20" s="210">
        <f t="shared" si="12"/>
        <v>0</v>
      </c>
      <c r="EL20" s="210">
        <f t="shared" si="13"/>
        <v>0</v>
      </c>
      <c r="EM20" s="210">
        <f t="shared" si="14"/>
        <v>0</v>
      </c>
      <c r="EN20" s="210">
        <f t="shared" si="15"/>
        <v>0</v>
      </c>
      <c r="EO20" s="702" t="s">
        <v>48</v>
      </c>
      <c r="EP20" s="703"/>
      <c r="EQ20" s="703"/>
      <c r="ER20" s="704"/>
      <c r="ES20" s="248"/>
      <c r="ET20" s="249"/>
      <c r="EU20" s="240"/>
      <c r="EV20" s="240"/>
      <c r="EW20" s="240"/>
      <c r="EX20" s="711" t="s">
        <v>48</v>
      </c>
      <c r="EY20" s="712"/>
      <c r="EZ20" s="712"/>
      <c r="FA20" s="714"/>
      <c r="FB20" s="236"/>
      <c r="FC20" s="237"/>
      <c r="FD20" s="237"/>
      <c r="FE20" s="237"/>
      <c r="FF20" s="238"/>
      <c r="FG20" s="690" t="s">
        <v>48</v>
      </c>
      <c r="FH20" s="356"/>
      <c r="FI20" s="356"/>
      <c r="FJ20" s="401"/>
      <c r="FK20" s="239"/>
      <c r="FL20" s="240"/>
      <c r="FM20" s="240"/>
      <c r="FN20" s="240"/>
      <c r="FO20" s="241"/>
      <c r="FP20" s="711" t="s">
        <v>48</v>
      </c>
      <c r="FQ20" s="712"/>
      <c r="FR20" s="712"/>
      <c r="FS20" s="713"/>
      <c r="FT20" s="236"/>
      <c r="FU20" s="237"/>
      <c r="FV20" s="237"/>
      <c r="FW20" s="237"/>
      <c r="FX20" s="238"/>
      <c r="FY20" s="677" t="s">
        <v>48</v>
      </c>
      <c r="FZ20" s="356"/>
      <c r="GA20" s="356"/>
      <c r="GB20" s="401"/>
      <c r="GC20" s="239"/>
      <c r="GD20" s="240"/>
      <c r="GE20" s="240"/>
      <c r="GF20" s="240"/>
      <c r="GG20" s="241"/>
      <c r="GK20" s="223" t="s">
        <v>48</v>
      </c>
      <c r="GL20" s="223">
        <f t="shared" si="8"/>
        <v>0</v>
      </c>
      <c r="GM20" s="223">
        <f>IF($GK20=Creation!$Q$28,1,0)</f>
        <v>0</v>
      </c>
      <c r="GN20" s="223">
        <f>IF($GK20=Creation!$Q$29,1,0)</f>
        <v>0</v>
      </c>
      <c r="GO20" s="223">
        <f>IF($GK20=Creation!$Q$30,1,0)</f>
        <v>0</v>
      </c>
      <c r="GP20" s="223">
        <f>IF($GK20=Creation!$Q$31,1,0)</f>
        <v>0</v>
      </c>
      <c r="GQ20" s="223">
        <f>IF($GK20=Creation!$Q$32,1,0)</f>
        <v>0</v>
      </c>
      <c r="GR20" s="223">
        <f>IF($GK20=Creation!$Q$33,1,0)</f>
        <v>0</v>
      </c>
    </row>
    <row r="21" spans="1:200" x14ac:dyDescent="0.25">
      <c r="A21" s="677" t="s">
        <v>18</v>
      </c>
      <c r="B21" s="356"/>
      <c r="C21" s="356"/>
      <c r="D21" s="356"/>
      <c r="E21" s="146">
        <f>IF(Creation!BO9+Creation!BQ9&gt;0,1,0)</f>
        <v>0</v>
      </c>
      <c r="F21" s="146">
        <f>IF(Creation!BO9+Creation!BQ9&gt;1,1,0)</f>
        <v>0</v>
      </c>
      <c r="G21" s="146">
        <f>IF(Creation!BO9+Creation!BQ9&gt;2,1,0)</f>
        <v>0</v>
      </c>
      <c r="H21" s="146">
        <f>IF(Creation!BO9+Creation!BQ9&gt;3,1,0)</f>
        <v>0</v>
      </c>
      <c r="I21" s="146">
        <f>IF(Creation!BO9+Creation!BQ9&gt;4,1,0)</f>
        <v>0</v>
      </c>
      <c r="J21" s="146">
        <f>IF(Creation!BO9+Creation!BQ9&gt;5,1,0)</f>
        <v>0</v>
      </c>
      <c r="K21" s="146">
        <f>IF(Creation!BO9+Creation!BQ9&gt;6,1,0)</f>
        <v>0</v>
      </c>
      <c r="L21" s="146">
        <f>IF(Creation!BO9+Creation!BQ9&gt;7,1,0)</f>
        <v>0</v>
      </c>
      <c r="M21" s="146">
        <f>IF(Creation!BO9+Creation!BQ9&gt;8,1,0)</f>
        <v>0</v>
      </c>
      <c r="N21" s="146">
        <f>IF(Creation!BO9+Creation!BQ9&gt;9,1,0)</f>
        <v>0</v>
      </c>
      <c r="O21" s="149">
        <f>IF(Creation!BO9+Creation!BQ9&gt;10,1,0)</f>
        <v>0</v>
      </c>
      <c r="P21" s="677" t="s">
        <v>47</v>
      </c>
      <c r="Q21" s="356"/>
      <c r="R21" s="356"/>
      <c r="S21" s="356"/>
      <c r="T21" s="146">
        <f>IF(Creation!AC16+Creation!AF16&gt;0,1,0)</f>
        <v>0</v>
      </c>
      <c r="U21" s="146">
        <f>IF(Creation!AC16+Creation!AF16&gt;1,1,0)</f>
        <v>0</v>
      </c>
      <c r="V21" s="146">
        <f>IF(Creation!AC16+Creation!AF16&gt;2,1,0)</f>
        <v>0</v>
      </c>
      <c r="W21" s="146">
        <f>IF(Creation!AC16+Creation!AF16&gt;3,1,0)</f>
        <v>0</v>
      </c>
      <c r="X21" s="147">
        <f>IF(Creation!AC16+Creation!AF16&gt;4,1,0)</f>
        <v>0</v>
      </c>
      <c r="Y21" s="677" t="s">
        <v>18</v>
      </c>
      <c r="Z21" s="356"/>
      <c r="AA21" s="356"/>
      <c r="AB21" s="401"/>
      <c r="AC21" s="239"/>
      <c r="AD21" s="240"/>
      <c r="AE21" s="240"/>
      <c r="AF21" s="240"/>
      <c r="AG21" s="240"/>
      <c r="AH21" s="240"/>
      <c r="AI21" s="240"/>
      <c r="AJ21" s="240"/>
      <c r="AK21" s="240"/>
      <c r="AL21" s="240"/>
      <c r="AM21" s="241"/>
      <c r="AN21" s="677" t="s">
        <v>47</v>
      </c>
      <c r="AO21" s="356"/>
      <c r="AP21" s="356"/>
      <c r="AQ21" s="401"/>
      <c r="AR21" s="239"/>
      <c r="AS21" s="240"/>
      <c r="AT21" s="240"/>
      <c r="AU21" s="240"/>
      <c r="AV21" s="241"/>
      <c r="AW21" s="690" t="s">
        <v>18</v>
      </c>
      <c r="AX21" s="356"/>
      <c r="AY21" s="356"/>
      <c r="AZ21" s="401"/>
      <c r="BA21" s="250"/>
      <c r="BB21" s="240"/>
      <c r="BC21" s="240"/>
      <c r="BD21" s="240"/>
      <c r="BE21" s="240"/>
      <c r="BF21" s="240"/>
      <c r="BG21" s="240"/>
      <c r="BH21" s="240"/>
      <c r="BI21" s="240"/>
      <c r="BJ21" s="240"/>
      <c r="BK21" s="241"/>
      <c r="BL21" s="677" t="s">
        <v>47</v>
      </c>
      <c r="BM21" s="356"/>
      <c r="BN21" s="356"/>
      <c r="BO21" s="401"/>
      <c r="BP21" s="250"/>
      <c r="BQ21" s="240"/>
      <c r="BR21" s="240"/>
      <c r="BS21" s="240"/>
      <c r="BT21" s="241"/>
      <c r="BU21" s="690" t="s">
        <v>18</v>
      </c>
      <c r="BV21" s="356"/>
      <c r="BW21" s="356"/>
      <c r="BX21" s="356"/>
      <c r="BY21" s="146">
        <f>IF(AND(E21=0,AC21=0,BA21=0,DemigodConversion!$BM9+DemigodConversion!$BO9+DemigodConversion!$BQ9&gt;0),1,0)</f>
        <v>0</v>
      </c>
      <c r="BZ21" s="146">
        <f>IF(SUM($BY21:BY21)=SUM(DemigodConversion!$BO9:$BR9),0,IF(AND(F21=0,AD21=0,BB21=0,DemigodConversion!$BM9+DemigodConversion!$BO9+DemigodConversion!$BQ9&gt;BY$15),1,0))</f>
        <v>0</v>
      </c>
      <c r="CA21" s="146">
        <f>IF(SUM($BY21:BZ21)=SUM(DemigodConversion!$BO9:$BR9),0,IF(AND(G21=0,AE21=0,BC21=0,DemigodConversion!$BM9+DemigodConversion!$BO9+DemigodConversion!$BQ9&gt;BZ$15),1,0))</f>
        <v>0</v>
      </c>
      <c r="CB21" s="146">
        <f>IF(SUM($BY21:CA21)=SUM(DemigodConversion!$BO9:$BR9),0,IF(AND(H21=0,AF21=0,BD21=0,DemigodConversion!$BM9+DemigodConversion!$BO9+DemigodConversion!$BQ9&gt;CA$15),1,0))</f>
        <v>0</v>
      </c>
      <c r="CC21" s="146">
        <f>IF(SUM($BY21:CB21)=SUM(DemigodConversion!$BO9:$BR9),0,IF(AND(I21=0,AG21=0,BE21=0,DemigodConversion!$BM9+DemigodConversion!$BO9+DemigodConversion!$BQ9&gt;CB$15),1,0))</f>
        <v>0</v>
      </c>
      <c r="CD21" s="146">
        <f>IF(SUM($BY21:CC21)=SUM(DemigodConversion!$BO9:$BR9),0,IF(AND(J21=0,AH21=0,BF21=0,DemigodConversion!$BM9+DemigodConversion!$BO9+DemigodConversion!$BQ9&gt;CC$15),1,0))</f>
        <v>0</v>
      </c>
      <c r="CE21" s="146">
        <f>IF(SUM($BY21:CD21)=SUM(DemigodConversion!$BO9:$BR9),0,IF(AND(K21=0,AI21=0,BG21=0,DemigodConversion!$BM9+DemigodConversion!$BO9+DemigodConversion!$BQ9&gt;CD$15),1,0))</f>
        <v>0</v>
      </c>
      <c r="CF21" s="146">
        <f>IF(SUM($BY21:CE21)=SUM(DemigodConversion!$BO9:$BR9),0,IF(AND(L21=0,AJ21=0,BH21=0,DemigodConversion!$BM9+DemigodConversion!$BO9+DemigodConversion!$BQ9&gt;CE$15),1,0))</f>
        <v>0</v>
      </c>
      <c r="CG21" s="146">
        <f>IF(SUM($BY21:CF21)=SUM(DemigodConversion!$BO9:$BR9),0,IF(AND(M21=0,AK21=0,BI21=0,DemigodConversion!$BM9+DemigodConversion!$BO9+DemigodConversion!$BQ9&gt;CF$15),1,0))</f>
        <v>0</v>
      </c>
      <c r="CH21" s="146">
        <f>IF(SUM($BY21:CG21)=SUM(DemigodConversion!$BO9:$BR9),0,IF(AND(N21=0,AL21=0,BJ21=0,DemigodConversion!$BM9+DemigodConversion!$BO9+DemigodConversion!$BQ9&gt;CG$15),1,0))</f>
        <v>0</v>
      </c>
      <c r="CI21" s="147">
        <f>IF(SUM($BY21:CH21)=SUM(DemigodConversion!$BO9:$BR9),0,IF(AND(O21=0,AM21=0,BK21=0,DemigodConversion!$BM9+DemigodConversion!$BO9+DemigodConversion!$BQ9&gt;CH$15),1,0))</f>
        <v>0</v>
      </c>
      <c r="CJ21" s="677" t="s">
        <v>47</v>
      </c>
      <c r="CK21" s="356"/>
      <c r="CL21" s="356"/>
      <c r="CM21" s="356"/>
      <c r="CN21" s="229">
        <f>IF(AND(T21=0,AR21=0,BP21=0,FB19=0,FK19=0,FT19=0,GC19=0,ES19=0,DemigodConversion!$AC16+DemigodConversion!$AF16&gt;0),1,0)</f>
        <v>0</v>
      </c>
      <c r="CO21" s="271">
        <f>IF(AND(U21=0,AS21=0,BQ21=0,FC19=0,FL19=0,FU19=0,GD19=0,ET19=0,DemigodConversion!$AC16+DemigodConversion!$AF16&gt;1),1,0)</f>
        <v>0</v>
      </c>
      <c r="CP21" s="271">
        <f>IF(AND(V21=0,AT21=0,BR21=0,FD19=0,FM19=0,FV19=0,GE19=0,EU19=0,DemigodConversion!$AC16+DemigodConversion!$AF16&gt;2),1,0)</f>
        <v>0</v>
      </c>
      <c r="CQ21" s="271">
        <f>IF(AND(W21=0,AU21=0,BS21=0,FE19=0,FN19=0,FW19=0,GF19=0,EV19=0,DemigodConversion!$AC16+DemigodConversion!$AF16&gt;3),1,0)</f>
        <v>0</v>
      </c>
      <c r="CR21" s="271">
        <f>IF(AND(X21=0,AV21=0,BT21=0,FF19=0,FO19=0,FX19=0,GG19=0,EW19=0,DemigodConversion!$AC16+DemigodConversion!$AF16&gt;4),1,0)</f>
        <v>0</v>
      </c>
      <c r="CS21" s="690" t="s">
        <v>18</v>
      </c>
      <c r="CT21" s="356"/>
      <c r="CU21" s="356"/>
      <c r="CV21" s="356"/>
      <c r="CW21" s="146">
        <f>IF(AND(E21=0,AC21=0,BA21=0,BY21=0,0&lt;SUM(GodConversion!$BM9:$BR9)),1,0)</f>
        <v>0</v>
      </c>
      <c r="CX21" s="146">
        <f>IF(AND(F21=0,AD21=0,BB21=0,BZ21=0,CW$15&lt;SUM(GodConversion!$BM9:$BR9)),1,0)</f>
        <v>0</v>
      </c>
      <c r="CY21" s="146">
        <f>IF(AND(G21=0,AE21=0,BC21=0,CA21=0,CX$15&lt;SUM(GodConversion!$BM9:$BR9)),1,0)</f>
        <v>0</v>
      </c>
      <c r="CZ21" s="146">
        <f>IF(AND(H21=0,AF21=0,BD21=0,CB21=0,CY$15&lt;SUM(GodConversion!$BM9:$BR9)),1,0)</f>
        <v>0</v>
      </c>
      <c r="DA21" s="146">
        <f>IF(AND(I21=0,AG21=0,BE21=0,CC21=0,CZ$15&lt;SUM(GodConversion!$BM9:$BR9)),1,0)</f>
        <v>0</v>
      </c>
      <c r="DB21" s="146">
        <f>IF(AND(J21=0,AH21=0,BF21=0,CD21=0,DA$15&lt;SUM(GodConversion!$BM9:$BR9)),1,0)</f>
        <v>0</v>
      </c>
      <c r="DC21" s="146">
        <f>IF(AND(K21=0,AI21=0,BG21=0,CE21=0,DB$15&lt;SUM(GodConversion!$BM9:$BR9)),1,0)</f>
        <v>0</v>
      </c>
      <c r="DD21" s="146">
        <f>IF(AND(L21=0,AJ21=0,BH21=0,CF21=0,DC$15&lt;SUM(GodConversion!$BM9:$BR9)),1,0)</f>
        <v>0</v>
      </c>
      <c r="DE21" s="146">
        <f>IF(AND(M21=0,AK21=0,BI21=0,CG21=0,DD$15&lt;SUM(GodConversion!$BM9:$BR9)),1,0)</f>
        <v>0</v>
      </c>
      <c r="DF21" s="146">
        <f>IF(AND(N21=0,AL21=0,BJ21=0,CH21=0,DE$15&lt;SUM(GodConversion!$BM9:$BR9)),1,0)</f>
        <v>0</v>
      </c>
      <c r="DG21" s="149">
        <f>IF(AND(O21=0,AM21=0,BK21=0,CI21=0,DF$15&lt;SUM(GodConversion!$BM9:$BR9)),1,0)</f>
        <v>0</v>
      </c>
      <c r="DH21" s="690" t="s">
        <v>47</v>
      </c>
      <c r="DI21" s="356"/>
      <c r="DJ21" s="356"/>
      <c r="DK21" s="356"/>
      <c r="DL21" s="229">
        <f>IF(AND(T21=0,AR21=0,BP21=0,ES19=0,FB19=0,FK19=0,FT19=0,GC19=0,CN21=0,0&lt;GodConversion!$AC16+GodConversion!$AF16),1,0)</f>
        <v>0</v>
      </c>
      <c r="DM21" s="271">
        <f>IF(AND(U21=0,AS21=0,BQ21=0,ET19=0,FC19=0,FL19=0,FU19=0,GD19=0,CO21=0,1&lt;GodConversion!$AC16+GodConversion!$AF16),1,0)</f>
        <v>0</v>
      </c>
      <c r="DN21" s="271">
        <f>IF(AND(V21=0,AT21=0,BR21=0,EU19=0,FD19=0,FM19=0,FV19=0,GE19=0,CP21=0,2&lt;GodConversion!$AC16+GodConversion!$AF16),1,0)</f>
        <v>0</v>
      </c>
      <c r="DO21" s="271">
        <f>IF(AND(W21=0,AU21=0,BS21=0,EV19=0,FE19=0,FN19=0,FW19=0,GF19=0,CQ21=0,3&lt;GodConversion!$AC16+GodConversion!$AF16),1,0)</f>
        <v>0</v>
      </c>
      <c r="DP21" s="271">
        <f>IF(AND(X21=0,AV21=0,BT21=0,EW19=0,FF19=0,FO19=0,FX19=0,GG19=0,CR21=0,4&lt;GodConversion!$AC16+GodConversion!$AF16),1,0)</f>
        <v>0</v>
      </c>
      <c r="DQ21" s="677" t="s">
        <v>18</v>
      </c>
      <c r="DR21" s="356"/>
      <c r="DS21" s="356"/>
      <c r="DT21" s="356"/>
      <c r="DU21" s="146">
        <f>IF($AC21=1,IF(LOOKUP(CharacterSheet!$AK$7,AssociatedRef!$A$2:$A$130,AssociatedRef!$G$2:$G$130)="Yes",8,10),0)</f>
        <v>0</v>
      </c>
      <c r="DV21" s="146">
        <f>IF(AD21=1,IF(LOOKUP(CharacterSheet!$AK$7,AssociatedRef!$A$2:$A$130,AssociatedRef!$G$2:$G$130)="Yes",DU$15*4,DU$15*5),0)</f>
        <v>0</v>
      </c>
      <c r="DW21" s="146">
        <f>IF(AE21=1,IF(LOOKUP(CharacterSheet!$AK$7,AssociatedRef!$A$2:$A$130,AssociatedRef!$G$2:$G$130)="Yes",DV$15*4,DV$15*5),0)</f>
        <v>0</v>
      </c>
      <c r="DX21" s="146">
        <f>IF(AF21=1,IF(LOOKUP(CharacterSheet!$AK$7,AssociatedRef!$A$2:$A$130,AssociatedRef!$G$2:$G$130)="Yes",DW$15*4,DW$15*5),0)</f>
        <v>0</v>
      </c>
      <c r="DY21" s="146">
        <f>IF(AG21=1,IF(LOOKUP(CharacterSheet!$AK$7,AssociatedRef!$A$2:$A$130,AssociatedRef!$G$2:$G$130)="Yes",DX$15*4,DX$15*5),0)</f>
        <v>0</v>
      </c>
      <c r="DZ21" s="146">
        <f>IF(AH21=1,IF(LOOKUP(CharacterSheet!$AK$7,AssociatedRef!$A$2:$A$130,AssociatedRef!$G$2:$G$130)="Yes",DY$15*4,DY$15*5),0)</f>
        <v>0</v>
      </c>
      <c r="EA21" s="146">
        <f>IF(AI21=1,IF(LOOKUP(CharacterSheet!$AK$7,AssociatedRef!$A$2:$A$130,AssociatedRef!$G$2:$G$130)="Yes",DZ$15*4,DZ$15*5),0)</f>
        <v>0</v>
      </c>
      <c r="EB21" s="146">
        <f>IF(AJ21=1,IF(LOOKUP(CharacterSheet!$AK$7,AssociatedRef!$A$2:$A$130,AssociatedRef!$G$2:$G$130)="Yes",EA$15*4,EA$15*5),0)</f>
        <v>0</v>
      </c>
      <c r="EC21" s="146">
        <f>IF(AK21=1,IF(LOOKUP(CharacterSheet!$AK$7,AssociatedRef!$A$2:$A$130,AssociatedRef!$G$2:$G$130)="Yes",EB$15*4,EB$15*5),0)</f>
        <v>0</v>
      </c>
      <c r="ED21" s="146">
        <f>IF(AL21=1,IF(LOOKUP(CharacterSheet!$AK$7,AssociatedRef!$A$2:$A$130,AssociatedRef!$G$2:$G$130)="Yes",EC$15*4,EC$15*5),0)</f>
        <v>0</v>
      </c>
      <c r="EE21" s="149">
        <f>IF(AM21=1,IF(LOOKUP(CharacterSheet!$AK$7,AssociatedRef!$A$2:$A$130,AssociatedRef!$G$2:$G$130)="Yes",ED$15*4,ED$15*5),0)</f>
        <v>0</v>
      </c>
      <c r="EF21" s="677" t="s">
        <v>47</v>
      </c>
      <c r="EG21" s="356"/>
      <c r="EH21" s="356"/>
      <c r="EI21" s="356"/>
      <c r="EJ21" s="210">
        <f t="shared" si="11"/>
        <v>0</v>
      </c>
      <c r="EK21" s="210">
        <f t="shared" si="12"/>
        <v>0</v>
      </c>
      <c r="EL21" s="210">
        <f t="shared" si="13"/>
        <v>0</v>
      </c>
      <c r="EM21" s="210">
        <f t="shared" si="14"/>
        <v>0</v>
      </c>
      <c r="EN21" s="210">
        <f t="shared" si="15"/>
        <v>0</v>
      </c>
      <c r="EO21" s="702" t="s">
        <v>49</v>
      </c>
      <c r="EP21" s="703"/>
      <c r="EQ21" s="703"/>
      <c r="ER21" s="704"/>
      <c r="ES21" s="248"/>
      <c r="ET21" s="249"/>
      <c r="EU21" s="240"/>
      <c r="EV21" s="240"/>
      <c r="EW21" s="240"/>
      <c r="EX21" s="677" t="s">
        <v>49</v>
      </c>
      <c r="EY21" s="356"/>
      <c r="EZ21" s="356"/>
      <c r="FA21" s="357"/>
      <c r="FB21" s="239"/>
      <c r="FC21" s="240"/>
      <c r="FD21" s="240"/>
      <c r="FE21" s="240"/>
      <c r="FF21" s="241"/>
      <c r="FG21" s="721" t="s">
        <v>49</v>
      </c>
      <c r="FH21" s="712"/>
      <c r="FI21" s="712"/>
      <c r="FJ21" s="713"/>
      <c r="FK21" s="236"/>
      <c r="FL21" s="237"/>
      <c r="FM21" s="237"/>
      <c r="FN21" s="237"/>
      <c r="FO21" s="238"/>
      <c r="FP21" s="677" t="s">
        <v>49</v>
      </c>
      <c r="FQ21" s="356"/>
      <c r="FR21" s="356"/>
      <c r="FS21" s="401"/>
      <c r="FT21" s="239"/>
      <c r="FU21" s="240"/>
      <c r="FV21" s="240"/>
      <c r="FW21" s="240"/>
      <c r="FX21" s="241"/>
      <c r="FY21" s="711" t="s">
        <v>49</v>
      </c>
      <c r="FZ21" s="712"/>
      <c r="GA21" s="712"/>
      <c r="GB21" s="713"/>
      <c r="GC21" s="236"/>
      <c r="GD21" s="237"/>
      <c r="GE21" s="237"/>
      <c r="GF21" s="237"/>
      <c r="GG21" s="238"/>
      <c r="GK21" s="223" t="s">
        <v>49</v>
      </c>
      <c r="GL21" s="223">
        <f t="shared" si="8"/>
        <v>0</v>
      </c>
      <c r="GM21" s="223">
        <f>IF($GK21=Creation!$Q$28,1,0)</f>
        <v>0</v>
      </c>
      <c r="GN21" s="223">
        <f>IF($GK21=Creation!$Q$29,1,0)</f>
        <v>0</v>
      </c>
      <c r="GO21" s="223">
        <f>IF($GK21=Creation!$Q$30,1,0)</f>
        <v>0</v>
      </c>
      <c r="GP21" s="223">
        <f>IF($GK21=Creation!$Q$31,1,0)</f>
        <v>0</v>
      </c>
      <c r="GQ21" s="223">
        <f>IF($GK21=Creation!$Q$32,1,0)</f>
        <v>0</v>
      </c>
      <c r="GR21" s="223">
        <f>IF($GK21=Creation!$Q$33,1,0)</f>
        <v>0</v>
      </c>
    </row>
    <row r="22" spans="1:200" x14ac:dyDescent="0.25">
      <c r="A22" s="677" t="s">
        <v>19</v>
      </c>
      <c r="B22" s="356"/>
      <c r="C22" s="356"/>
      <c r="D22" s="356"/>
      <c r="E22" s="146">
        <f>IF(Creation!BO10+Creation!BQ10&gt;0,1,0)</f>
        <v>0</v>
      </c>
      <c r="F22" s="146">
        <f>IF(Creation!BO10+Creation!BQ10&gt;1,1,0)</f>
        <v>0</v>
      </c>
      <c r="G22" s="146">
        <f>IF(Creation!BO10+Creation!BQ10&gt;2,1,0)</f>
        <v>0</v>
      </c>
      <c r="H22" s="146">
        <f>IF(Creation!BO10+Creation!BQ10&gt;3,1,0)</f>
        <v>0</v>
      </c>
      <c r="I22" s="146">
        <f>IF(Creation!BO10+Creation!BQ10&gt;4,1,0)</f>
        <v>0</v>
      </c>
      <c r="J22" s="146">
        <f>IF(Creation!BO10+Creation!BQ10&gt;5,1,0)</f>
        <v>0</v>
      </c>
      <c r="K22" s="146">
        <f>IF(Creation!BO10+Creation!BQ10&gt;6,1,0)</f>
        <v>0</v>
      </c>
      <c r="L22" s="146">
        <f>IF(Creation!BO10+Creation!BQ10&gt;7,1,0)</f>
        <v>0</v>
      </c>
      <c r="M22" s="146">
        <f>IF(Creation!BO10+Creation!BQ10&gt;8,1,0)</f>
        <v>0</v>
      </c>
      <c r="N22" s="146">
        <f>IF(Creation!BO10+Creation!BQ10&gt;9,1,0)</f>
        <v>0</v>
      </c>
      <c r="O22" s="149">
        <f>IF(Creation!BO10+Creation!BQ10&gt;10,1,0)</f>
        <v>0</v>
      </c>
      <c r="P22" s="677" t="s">
        <v>48</v>
      </c>
      <c r="Q22" s="356"/>
      <c r="R22" s="356"/>
      <c r="S22" s="356"/>
      <c r="T22" s="146">
        <f>IF(Creation!AC17+Creation!AF17&gt;0,1,0)</f>
        <v>0</v>
      </c>
      <c r="U22" s="146">
        <f>IF(Creation!AC17+Creation!AF17&gt;1,1,0)</f>
        <v>0</v>
      </c>
      <c r="V22" s="146">
        <f>IF(Creation!AC17+Creation!AF17&gt;2,1,0)</f>
        <v>0</v>
      </c>
      <c r="W22" s="146">
        <f>IF(Creation!AC17+Creation!AF17&gt;3,1,0)</f>
        <v>0</v>
      </c>
      <c r="X22" s="147">
        <f>IF(Creation!AC17+Creation!AF17&gt;4,1,0)</f>
        <v>0</v>
      </c>
      <c r="Y22" s="677" t="s">
        <v>19</v>
      </c>
      <c r="Z22" s="356"/>
      <c r="AA22" s="356"/>
      <c r="AB22" s="401"/>
      <c r="AC22" s="239"/>
      <c r="AD22" s="240"/>
      <c r="AE22" s="240"/>
      <c r="AF22" s="240"/>
      <c r="AG22" s="240"/>
      <c r="AH22" s="240"/>
      <c r="AI22" s="240"/>
      <c r="AJ22" s="240"/>
      <c r="AK22" s="240"/>
      <c r="AL22" s="240"/>
      <c r="AM22" s="241"/>
      <c r="AN22" s="677" t="s">
        <v>48</v>
      </c>
      <c r="AO22" s="356"/>
      <c r="AP22" s="356"/>
      <c r="AQ22" s="401"/>
      <c r="AR22" s="239"/>
      <c r="AS22" s="240"/>
      <c r="AT22" s="240"/>
      <c r="AU22" s="240"/>
      <c r="AV22" s="241"/>
      <c r="AW22" s="690" t="s">
        <v>19</v>
      </c>
      <c r="AX22" s="356"/>
      <c r="AY22" s="356"/>
      <c r="AZ22" s="401"/>
      <c r="BA22" s="250"/>
      <c r="BB22" s="240"/>
      <c r="BC22" s="240"/>
      <c r="BD22" s="240"/>
      <c r="BE22" s="240"/>
      <c r="BF22" s="240"/>
      <c r="BG22" s="240"/>
      <c r="BH22" s="240"/>
      <c r="BI22" s="240"/>
      <c r="BJ22" s="240"/>
      <c r="BK22" s="241"/>
      <c r="BL22" s="677" t="s">
        <v>48</v>
      </c>
      <c r="BM22" s="356"/>
      <c r="BN22" s="356"/>
      <c r="BO22" s="401"/>
      <c r="BP22" s="250"/>
      <c r="BQ22" s="240"/>
      <c r="BR22" s="240"/>
      <c r="BS22" s="240"/>
      <c r="BT22" s="241"/>
      <c r="BU22" s="690" t="s">
        <v>19</v>
      </c>
      <c r="BV22" s="356"/>
      <c r="BW22" s="356"/>
      <c r="BX22" s="356"/>
      <c r="BY22" s="146">
        <f>IF(AND(E22=0,AC22=0,BA22=0,DemigodConversion!$BM10+DemigodConversion!$BO10+DemigodConversion!$BQ10&gt;0),1,0)</f>
        <v>0</v>
      </c>
      <c r="BZ22" s="146">
        <f>IF(SUM($BY22:BY22)=SUM(DemigodConversion!$BO10:$BR10),0,IF(AND(F22=0,AD22=0,BB22=0,DemigodConversion!$BM10+DemigodConversion!$BO10+DemigodConversion!$BQ10&gt;BY$15),1,0))</f>
        <v>0</v>
      </c>
      <c r="CA22" s="146">
        <f>IF(SUM($BY22:BZ22)=SUM(DemigodConversion!$BO10:$BR10),0,IF(AND(G22=0,AE22=0,BC22=0,DemigodConversion!$BM10+DemigodConversion!$BO10+DemigodConversion!$BQ10&gt;BZ$15),1,0))</f>
        <v>0</v>
      </c>
      <c r="CB22" s="146">
        <f>IF(SUM($BY22:CA22)=SUM(DemigodConversion!$BO10:$BR10),0,IF(AND(H22=0,AF22=0,BD22=0,DemigodConversion!$BM10+DemigodConversion!$BO10+DemigodConversion!$BQ10&gt;CA$15),1,0))</f>
        <v>0</v>
      </c>
      <c r="CC22" s="146">
        <f>IF(SUM($BY22:CB22)=SUM(DemigodConversion!$BO10:$BR10),0,IF(AND(I22=0,AG22=0,BE22=0,DemigodConversion!$BM10+DemigodConversion!$BO10+DemigodConversion!$BQ10&gt;CB$15),1,0))</f>
        <v>0</v>
      </c>
      <c r="CD22" s="146">
        <f>IF(SUM($BY22:CC22)=SUM(DemigodConversion!$BO10:$BR10),0,IF(AND(J22=0,AH22=0,BF22=0,DemigodConversion!$BM10+DemigodConversion!$BO10+DemigodConversion!$BQ10&gt;CC$15),1,0))</f>
        <v>0</v>
      </c>
      <c r="CE22" s="146">
        <f>IF(SUM($BY22:CD22)=SUM(DemigodConversion!$BO10:$BR10),0,IF(AND(K22=0,AI22=0,BG22=0,DemigodConversion!$BM10+DemigodConversion!$BO10+DemigodConversion!$BQ10&gt;CD$15),1,0))</f>
        <v>0</v>
      </c>
      <c r="CF22" s="146">
        <f>IF(SUM($BY22:CE22)=SUM(DemigodConversion!$BO10:$BR10),0,IF(AND(L22=0,AJ22=0,BH22=0,DemigodConversion!$BM10+DemigodConversion!$BO10+DemigodConversion!$BQ10&gt;CE$15),1,0))</f>
        <v>0</v>
      </c>
      <c r="CG22" s="146">
        <f>IF(SUM($BY22:CF22)=SUM(DemigodConversion!$BO10:$BR10),0,IF(AND(M22=0,AK22=0,BI22=0,DemigodConversion!$BM10+DemigodConversion!$BO10+DemigodConversion!$BQ10&gt;CF$15),1,0))</f>
        <v>0</v>
      </c>
      <c r="CH22" s="146">
        <f>IF(SUM($BY22:CG22)=SUM(DemigodConversion!$BO10:$BR10),0,IF(AND(N22=0,AL22=0,BJ22=0,DemigodConversion!$BM10+DemigodConversion!$BO10+DemigodConversion!$BQ10&gt;CG$15),1,0))</f>
        <v>0</v>
      </c>
      <c r="CI22" s="147">
        <f>IF(SUM($BY22:CH22)=SUM(DemigodConversion!$BO10:$BR10),0,IF(AND(O22=0,AM22=0,BK22=0,DemigodConversion!$BM10+DemigodConversion!$BO10+DemigodConversion!$BQ10&gt;CH$15),1,0))</f>
        <v>0</v>
      </c>
      <c r="CJ22" s="677" t="s">
        <v>48</v>
      </c>
      <c r="CK22" s="356"/>
      <c r="CL22" s="356"/>
      <c r="CM22" s="356"/>
      <c r="CN22" s="229">
        <f>IF(AND(T22=0,AR22=0,BP22=0,FB20=0,FK20=0,FT20=0,GC20=0,ES20=0,DemigodConversion!$AC17+DemigodConversion!$AF17&gt;0),1,0)</f>
        <v>0</v>
      </c>
      <c r="CO22" s="271">
        <f>IF(AND(U22=0,AS22=0,BQ22=0,FC20=0,FL20=0,FU20=0,GD20=0,ET20=0,DemigodConversion!$AC17+DemigodConversion!$AF17&gt;1),1,0)</f>
        <v>0</v>
      </c>
      <c r="CP22" s="271">
        <f>IF(AND(V22=0,AT22=0,BR22=0,FD20=0,FM20=0,FV20=0,GE20=0,EU20=0,DemigodConversion!$AC17+DemigodConversion!$AF17&gt;2),1,0)</f>
        <v>0</v>
      </c>
      <c r="CQ22" s="271">
        <f>IF(AND(W22=0,AU22=0,BS22=0,FE20=0,FN20=0,FW20=0,GF20=0,EV20=0,DemigodConversion!$AC17+DemigodConversion!$AF17&gt;3),1,0)</f>
        <v>0</v>
      </c>
      <c r="CR22" s="271">
        <f>IF(AND(X22=0,AV22=0,BT22=0,FF20=0,FO20=0,FX20=0,GG20=0,EW20=0,DemigodConversion!$AC17+DemigodConversion!$AF17&gt;4),1,0)</f>
        <v>0</v>
      </c>
      <c r="CS22" s="690" t="s">
        <v>19</v>
      </c>
      <c r="CT22" s="356"/>
      <c r="CU22" s="356"/>
      <c r="CV22" s="356"/>
      <c r="CW22" s="146">
        <f>IF(AND(E22=0,AC22=0,BA22=0,BY22=0,0&lt;SUM(GodConversion!$BM10:$BR10)),1,0)</f>
        <v>0</v>
      </c>
      <c r="CX22" s="146">
        <f>IF(AND(F22=0,AD22=0,BB22=0,BZ22=0,CW$15&lt;SUM(GodConversion!$BM10:$BR10)),1,0)</f>
        <v>0</v>
      </c>
      <c r="CY22" s="146">
        <f>IF(AND(G22=0,AE22=0,BC22=0,CA22=0,CX$15&lt;SUM(GodConversion!$BM10:$BR10)),1,0)</f>
        <v>0</v>
      </c>
      <c r="CZ22" s="146">
        <f>IF(AND(H22=0,AF22=0,BD22=0,CB22=0,CY$15&lt;SUM(GodConversion!$BM10:$BR10)),1,0)</f>
        <v>0</v>
      </c>
      <c r="DA22" s="146">
        <f>IF(AND(I22=0,AG22=0,BE22=0,CC22=0,CZ$15&lt;SUM(GodConversion!$BM10:$BR10)),1,0)</f>
        <v>0</v>
      </c>
      <c r="DB22" s="146">
        <f>IF(AND(J22=0,AH22=0,BF22=0,CD22=0,DA$15&lt;SUM(GodConversion!$BM10:$BR10)),1,0)</f>
        <v>0</v>
      </c>
      <c r="DC22" s="146">
        <f>IF(AND(K22=0,AI22=0,BG22=0,CE22=0,DB$15&lt;SUM(GodConversion!$BM10:$BR10)),1,0)</f>
        <v>0</v>
      </c>
      <c r="DD22" s="146">
        <f>IF(AND(L22=0,AJ22=0,BH22=0,CF22=0,DC$15&lt;SUM(GodConversion!$BM10:$BR10)),1,0)</f>
        <v>0</v>
      </c>
      <c r="DE22" s="146">
        <f>IF(AND(M22=0,AK22=0,BI22=0,CG22=0,DD$15&lt;SUM(GodConversion!$BM10:$BR10)),1,0)</f>
        <v>0</v>
      </c>
      <c r="DF22" s="146">
        <f>IF(AND(N22=0,AL22=0,BJ22=0,CH22=0,DE$15&lt;SUM(GodConversion!$BM10:$BR10)),1,0)</f>
        <v>0</v>
      </c>
      <c r="DG22" s="149">
        <f>IF(AND(O22=0,AM22=0,BK22=0,CI22=0,DF$15&lt;SUM(GodConversion!$BM10:$BR10)),1,0)</f>
        <v>0</v>
      </c>
      <c r="DH22" s="690" t="s">
        <v>48</v>
      </c>
      <c r="DI22" s="356"/>
      <c r="DJ22" s="356"/>
      <c r="DK22" s="356"/>
      <c r="DL22" s="229">
        <f>IF(AND(T22=0,AR22=0,BP22=0,ES20=0,FB20=0,FK20=0,FT20=0,GC20=0,CN22=0,0&lt;GodConversion!$AC17+GodConversion!$AF17),1,0)</f>
        <v>0</v>
      </c>
      <c r="DM22" s="271">
        <f>IF(AND(U22=0,AS22=0,BQ22=0,ET20=0,FC20=0,FL20=0,FU20=0,GD20=0,CO22=0,1&lt;GodConversion!$AC17+GodConversion!$AF17),1,0)</f>
        <v>0</v>
      </c>
      <c r="DN22" s="271">
        <f>IF(AND(V22=0,AT22=0,BR22=0,EU20=0,FD20=0,FM20=0,FV20=0,GE20=0,CP22=0,2&lt;GodConversion!$AC17+GodConversion!$AF17),1,0)</f>
        <v>0</v>
      </c>
      <c r="DO22" s="271">
        <f>IF(AND(W22=0,AU22=0,BS22=0,EV20=0,FE20=0,FN20=0,FW20=0,GF20=0,CQ22=0,3&lt;GodConversion!$AC17+GodConversion!$AF17),1,0)</f>
        <v>0</v>
      </c>
      <c r="DP22" s="271">
        <f>IF(AND(X22=0,AV22=0,BT22=0,EW20=0,FF20=0,FO20=0,FX20=0,GG20=0,CR22=0,4&lt;GodConversion!$AC17+GodConversion!$AF17),1,0)</f>
        <v>0</v>
      </c>
      <c r="DQ22" s="677" t="s">
        <v>19</v>
      </c>
      <c r="DR22" s="356"/>
      <c r="DS22" s="356"/>
      <c r="DT22" s="356"/>
      <c r="DU22" s="146">
        <f>IF($AC22=1,IF(LOOKUP(CharacterSheet!$AK$7,AssociatedRef!$A$2:$A$130,AssociatedRef!$H$2:$H$130)="Yes",8,10),0)</f>
        <v>0</v>
      </c>
      <c r="DV22" s="146">
        <f>IF(AD22=1,IF(LOOKUP(CharacterSheet!$AK$7,AssociatedRef!$A$2:$A$130,AssociatedRef!$H$2:$H$130)="Yes",DU$15*4,DU$15*5),0)</f>
        <v>0</v>
      </c>
      <c r="DW22" s="146">
        <f>IF(AE22=1,IF(LOOKUP(CharacterSheet!$AK$7,AssociatedRef!$A$2:$A$130,AssociatedRef!$H$2:$H$130)="Yes",DV$15*4,DV$15*5),0)</f>
        <v>0</v>
      </c>
      <c r="DX22" s="146">
        <f>IF(AF22=1,IF(LOOKUP(CharacterSheet!$AK$7,AssociatedRef!$A$2:$A$130,AssociatedRef!$H$2:$H$130)="Yes",DW$15*4,DW$15*5),0)</f>
        <v>0</v>
      </c>
      <c r="DY22" s="146">
        <f>IF(AG22=1,IF(LOOKUP(CharacterSheet!$AK$7,AssociatedRef!$A$2:$A$130,AssociatedRef!$H$2:$H$130)="Yes",DX$15*4,DX$15*5),0)</f>
        <v>0</v>
      </c>
      <c r="DZ22" s="146">
        <f>IF(AH22=1,IF(LOOKUP(CharacterSheet!$AK$7,AssociatedRef!$A$2:$A$130,AssociatedRef!$H$2:$H$130)="Yes",DY$15*4,DY$15*5),0)</f>
        <v>0</v>
      </c>
      <c r="EA22" s="146">
        <f>IF(AI22=1,IF(LOOKUP(CharacterSheet!$AK$7,AssociatedRef!$A$2:$A$130,AssociatedRef!$H$2:$H$130)="Yes",DZ$15*4,DZ$15*5),0)</f>
        <v>0</v>
      </c>
      <c r="EB22" s="146">
        <f>IF(AJ22=1,IF(LOOKUP(CharacterSheet!$AK$7,AssociatedRef!$A$2:$A$130,AssociatedRef!$H$2:$H$130)="Yes",EA$15*4,EA$15*5),0)</f>
        <v>0</v>
      </c>
      <c r="EC22" s="146">
        <f>IF(AK22=1,IF(LOOKUP(CharacterSheet!$AK$7,AssociatedRef!$A$2:$A$130,AssociatedRef!$H$2:$H$130)="Yes",EB$15*4,EB$15*5),0)</f>
        <v>0</v>
      </c>
      <c r="ED22" s="146">
        <f>IF(AL22=1,IF(LOOKUP(CharacterSheet!$AK$7,AssociatedRef!$A$2:$A$130,AssociatedRef!$H$2:$H$130)="Yes",EC$15*4,EC$15*5),0)</f>
        <v>0</v>
      </c>
      <c r="EE22" s="149">
        <f>IF(AM22=1,IF(LOOKUP(CharacterSheet!$AK$7,AssociatedRef!$A$2:$A$130,AssociatedRef!$H$2:$H$130)="Yes",ED$15*4,ED$15*5),0)</f>
        <v>0</v>
      </c>
      <c r="EF22" s="677" t="s">
        <v>48</v>
      </c>
      <c r="EG22" s="356"/>
      <c r="EH22" s="356"/>
      <c r="EI22" s="356"/>
      <c r="EJ22" s="210">
        <f t="shared" si="11"/>
        <v>0</v>
      </c>
      <c r="EK22" s="210">
        <f t="shared" si="12"/>
        <v>0</v>
      </c>
      <c r="EL22" s="210">
        <f t="shared" si="13"/>
        <v>0</v>
      </c>
      <c r="EM22" s="210">
        <f t="shared" si="14"/>
        <v>0</v>
      </c>
      <c r="EN22" s="210">
        <f t="shared" si="15"/>
        <v>0</v>
      </c>
      <c r="EO22" s="702" t="s">
        <v>50</v>
      </c>
      <c r="EP22" s="703"/>
      <c r="EQ22" s="703"/>
      <c r="ER22" s="704"/>
      <c r="ES22" s="248"/>
      <c r="ET22" s="249"/>
      <c r="EU22" s="240"/>
      <c r="EV22" s="240"/>
      <c r="EW22" s="240"/>
      <c r="EX22" s="677" t="s">
        <v>50</v>
      </c>
      <c r="EY22" s="356"/>
      <c r="EZ22" s="356"/>
      <c r="FA22" s="357"/>
      <c r="FB22" s="239"/>
      <c r="FC22" s="240"/>
      <c r="FD22" s="240"/>
      <c r="FE22" s="240"/>
      <c r="FF22" s="241"/>
      <c r="FG22" s="721" t="s">
        <v>50</v>
      </c>
      <c r="FH22" s="712"/>
      <c r="FI22" s="712"/>
      <c r="FJ22" s="713"/>
      <c r="FK22" s="236"/>
      <c r="FL22" s="237"/>
      <c r="FM22" s="237"/>
      <c r="FN22" s="237"/>
      <c r="FO22" s="238"/>
      <c r="FP22" s="677" t="s">
        <v>50</v>
      </c>
      <c r="FQ22" s="356"/>
      <c r="FR22" s="356"/>
      <c r="FS22" s="401"/>
      <c r="FT22" s="239"/>
      <c r="FU22" s="240"/>
      <c r="FV22" s="240"/>
      <c r="FW22" s="240"/>
      <c r="FX22" s="241"/>
      <c r="FY22" s="711" t="s">
        <v>50</v>
      </c>
      <c r="FZ22" s="712"/>
      <c r="GA22" s="712"/>
      <c r="GB22" s="713"/>
      <c r="GC22" s="236"/>
      <c r="GD22" s="237"/>
      <c r="GE22" s="237"/>
      <c r="GF22" s="237"/>
      <c r="GG22" s="238"/>
      <c r="GK22" s="223" t="s">
        <v>50</v>
      </c>
      <c r="GL22" s="223">
        <f t="shared" si="8"/>
        <v>0</v>
      </c>
      <c r="GM22" s="223">
        <f>IF($GK22=Creation!$Q$28,1,0)</f>
        <v>0</v>
      </c>
      <c r="GN22" s="223">
        <f>IF($GK22=Creation!$Q$29,1,0)</f>
        <v>0</v>
      </c>
      <c r="GO22" s="223">
        <f>IF($GK22=Creation!$Q$30,1,0)</f>
        <v>0</v>
      </c>
      <c r="GP22" s="223">
        <f>IF($GK22=Creation!$Q$31,1,0)</f>
        <v>0</v>
      </c>
      <c r="GQ22" s="223">
        <f>IF($GK22=Creation!$Q$32,1,0)</f>
        <v>0</v>
      </c>
      <c r="GR22" s="223">
        <f>IF($GK22=Creation!$Q$33,1,0)</f>
        <v>0</v>
      </c>
    </row>
    <row r="23" spans="1:200" x14ac:dyDescent="0.25">
      <c r="A23" s="677" t="s">
        <v>20</v>
      </c>
      <c r="B23" s="356"/>
      <c r="C23" s="356"/>
      <c r="D23" s="356"/>
      <c r="E23" s="146">
        <f>IF(Creation!BO11+Creation!BQ11&gt;0,1,0)</f>
        <v>0</v>
      </c>
      <c r="F23" s="146">
        <f>IF(Creation!BO11+Creation!BQ11&gt;1,1,0)</f>
        <v>0</v>
      </c>
      <c r="G23" s="146">
        <f>IF(Creation!BO11+Creation!BQ11&gt;2,1,0)</f>
        <v>0</v>
      </c>
      <c r="H23" s="146">
        <f>IF(Creation!BO11+Creation!BQ11&gt;3,1,0)</f>
        <v>0</v>
      </c>
      <c r="I23" s="146">
        <f>IF(Creation!BO11+Creation!BQ11&gt;4,1,0)</f>
        <v>0</v>
      </c>
      <c r="J23" s="146">
        <f>IF(Creation!BO11+Creation!BQ11&gt;5,1,0)</f>
        <v>0</v>
      </c>
      <c r="K23" s="146">
        <f>IF(Creation!BO11+Creation!BQ11&gt;6,1,0)</f>
        <v>0</v>
      </c>
      <c r="L23" s="146">
        <f>IF(Creation!BO11+Creation!BQ11&gt;7,1,0)</f>
        <v>0</v>
      </c>
      <c r="M23" s="146">
        <f>IF(Creation!BO11+Creation!BQ11&gt;8,1,0)</f>
        <v>0</v>
      </c>
      <c r="N23" s="146">
        <f>IF(Creation!BO11+Creation!BQ11&gt;9,1,0)</f>
        <v>0</v>
      </c>
      <c r="O23" s="149">
        <f>IF(Creation!BO11+Creation!BQ11&gt;10,1,0)</f>
        <v>0</v>
      </c>
      <c r="P23" s="677" t="s">
        <v>49</v>
      </c>
      <c r="Q23" s="356"/>
      <c r="R23" s="356"/>
      <c r="S23" s="356"/>
      <c r="T23" s="146">
        <f>IF(Creation!AC18+Creation!AF18&gt;0,1,0)</f>
        <v>0</v>
      </c>
      <c r="U23" s="146">
        <f>IF(Creation!AC18+Creation!AF18&gt;1,1,0)</f>
        <v>0</v>
      </c>
      <c r="V23" s="146">
        <f>IF(Creation!AC18+Creation!AF18&gt;2,1,0)</f>
        <v>0</v>
      </c>
      <c r="W23" s="146">
        <f>IF(Creation!AC18+Creation!AF18&gt;3,1,0)</f>
        <v>0</v>
      </c>
      <c r="X23" s="147">
        <f>IF(Creation!AC18+Creation!AF18&gt;4,1,0)</f>
        <v>0</v>
      </c>
      <c r="Y23" s="677" t="s">
        <v>20</v>
      </c>
      <c r="Z23" s="356"/>
      <c r="AA23" s="356"/>
      <c r="AB23" s="401"/>
      <c r="AC23" s="239"/>
      <c r="AD23" s="240"/>
      <c r="AE23" s="240"/>
      <c r="AF23" s="240"/>
      <c r="AG23" s="240"/>
      <c r="AH23" s="240"/>
      <c r="AI23" s="240"/>
      <c r="AJ23" s="240"/>
      <c r="AK23" s="240"/>
      <c r="AL23" s="240"/>
      <c r="AM23" s="241"/>
      <c r="AN23" s="677" t="s">
        <v>49</v>
      </c>
      <c r="AO23" s="356"/>
      <c r="AP23" s="356"/>
      <c r="AQ23" s="401"/>
      <c r="AR23" s="239"/>
      <c r="AS23" s="240"/>
      <c r="AT23" s="240"/>
      <c r="AU23" s="240"/>
      <c r="AV23" s="241"/>
      <c r="AW23" s="690" t="s">
        <v>20</v>
      </c>
      <c r="AX23" s="356"/>
      <c r="AY23" s="356"/>
      <c r="AZ23" s="401"/>
      <c r="BA23" s="250"/>
      <c r="BB23" s="240"/>
      <c r="BC23" s="240"/>
      <c r="BD23" s="240"/>
      <c r="BE23" s="240"/>
      <c r="BF23" s="240"/>
      <c r="BG23" s="240"/>
      <c r="BH23" s="240"/>
      <c r="BI23" s="240"/>
      <c r="BJ23" s="240"/>
      <c r="BK23" s="241"/>
      <c r="BL23" s="677" t="s">
        <v>49</v>
      </c>
      <c r="BM23" s="356"/>
      <c r="BN23" s="356"/>
      <c r="BO23" s="401"/>
      <c r="BP23" s="250"/>
      <c r="BQ23" s="240"/>
      <c r="BR23" s="240"/>
      <c r="BS23" s="240"/>
      <c r="BT23" s="241"/>
      <c r="BU23" s="690" t="s">
        <v>20</v>
      </c>
      <c r="BV23" s="356"/>
      <c r="BW23" s="356"/>
      <c r="BX23" s="356"/>
      <c r="BY23" s="146">
        <f>IF(AND(E23=0,AC23=0,BA23=0,DemigodConversion!$BM11+DemigodConversion!$BO11+DemigodConversion!$BQ11&gt;0),1,0)</f>
        <v>0</v>
      </c>
      <c r="BZ23" s="146">
        <f>IF(SUM($BY23:BY23)=SUM(DemigodConversion!$BO11:$BR11),0,IF(AND(F23=0,AD23=0,BB23=0,DemigodConversion!$BM11+DemigodConversion!$BO11+DemigodConversion!$BQ11&gt;BY$15),1,0))</f>
        <v>0</v>
      </c>
      <c r="CA23" s="146">
        <f>IF(SUM($BY23:BZ23)=SUM(DemigodConversion!$BO11:$BR11),0,IF(AND(G23=0,AE23=0,BC23=0,DemigodConversion!$BM11+DemigodConversion!$BO11+DemigodConversion!$BQ11&gt;BZ$15),1,0))</f>
        <v>0</v>
      </c>
      <c r="CB23" s="146">
        <f>IF(SUM($BY23:CA23)=SUM(DemigodConversion!$BO11:$BR11),0,IF(AND(H23=0,AF23=0,BD23=0,DemigodConversion!$BM11+DemigodConversion!$BO11+DemigodConversion!$BQ11&gt;CA$15),1,0))</f>
        <v>0</v>
      </c>
      <c r="CC23" s="146">
        <f>IF(SUM($BY23:CB23)=SUM(DemigodConversion!$BO11:$BR11),0,IF(AND(I23=0,AG23=0,BE23=0,DemigodConversion!$BM11+DemigodConversion!$BO11+DemigodConversion!$BQ11&gt;CB$15),1,0))</f>
        <v>0</v>
      </c>
      <c r="CD23" s="146">
        <f>IF(SUM($BY23:CC23)=SUM(DemigodConversion!$BO11:$BR11),0,IF(AND(J23=0,AH23=0,BF23=0,DemigodConversion!$BM11+DemigodConversion!$BO11+DemigodConversion!$BQ11&gt;CC$15),1,0))</f>
        <v>0</v>
      </c>
      <c r="CE23" s="146">
        <f>IF(SUM($BY23:CD23)=SUM(DemigodConversion!$BO11:$BR11),0,IF(AND(K23=0,AI23=0,BG23=0,DemigodConversion!$BM11+DemigodConversion!$BO11+DemigodConversion!$BQ11&gt;CD$15),1,0))</f>
        <v>0</v>
      </c>
      <c r="CF23" s="146">
        <f>IF(SUM($BY23:CE23)=SUM(DemigodConversion!$BO11:$BR11),0,IF(AND(L23=0,AJ23=0,BH23=0,DemigodConversion!$BM11+DemigodConversion!$BO11+DemigodConversion!$BQ11&gt;CE$15),1,0))</f>
        <v>0</v>
      </c>
      <c r="CG23" s="146">
        <f>IF(SUM($BY23:CF23)=SUM(DemigodConversion!$BO11:$BR11),0,IF(AND(M23=0,AK23=0,BI23=0,DemigodConversion!$BM11+DemigodConversion!$BO11+DemigodConversion!$BQ11&gt;CF$15),1,0))</f>
        <v>0</v>
      </c>
      <c r="CH23" s="146">
        <f>IF(SUM($BY23:CG23)=SUM(DemigodConversion!$BO11:$BR11),0,IF(AND(N23=0,AL23=0,BJ23=0,DemigodConversion!$BM11+DemigodConversion!$BO11+DemigodConversion!$BQ11&gt;CG$15),1,0))</f>
        <v>0</v>
      </c>
      <c r="CI23" s="147">
        <f>IF(SUM($BY23:CH23)=SUM(DemigodConversion!$BO11:$BR11),0,IF(AND(O23=0,AM23=0,BK23=0,DemigodConversion!$BM11+DemigodConversion!$BO11+DemigodConversion!$BQ11&gt;CH$15),1,0))</f>
        <v>0</v>
      </c>
      <c r="CJ23" s="677" t="s">
        <v>49</v>
      </c>
      <c r="CK23" s="356"/>
      <c r="CL23" s="356"/>
      <c r="CM23" s="356"/>
      <c r="CN23" s="229">
        <f>IF(AND(T23=0,AR23=0,BP23=0,FB21=0,FK21=0,FT21=0,GC21=0,ES21=0,DemigodConversion!$AC18+DemigodConversion!$AF18&gt;0),1,0)</f>
        <v>0</v>
      </c>
      <c r="CO23" s="271">
        <f>IF(AND(U23=0,AS23=0,BQ23=0,FC21=0,FL21=0,FU21=0,GD21=0,ET21=0,DemigodConversion!$AC18+DemigodConversion!$AF18&gt;1),1,0)</f>
        <v>0</v>
      </c>
      <c r="CP23" s="271">
        <f>IF(AND(V23=0,AT23=0,BR23=0,FD21=0,FM21=0,FV21=0,GE21=0,EU21=0,DemigodConversion!$AC18+DemigodConversion!$AF18&gt;2),1,0)</f>
        <v>0</v>
      </c>
      <c r="CQ23" s="271">
        <f>IF(AND(W23=0,AU23=0,BS23=0,FE21=0,FN21=0,FW21=0,GF21=0,EV21=0,DemigodConversion!$AC18+DemigodConversion!$AF18&gt;3),1,0)</f>
        <v>0</v>
      </c>
      <c r="CR23" s="271">
        <f>IF(AND(X23=0,AV23=0,BT23=0,FF21=0,FO21=0,FX21=0,GG21=0,EW21=0,DemigodConversion!$AC18+DemigodConversion!$AF18&gt;4),1,0)</f>
        <v>0</v>
      </c>
      <c r="CS23" s="690" t="s">
        <v>20</v>
      </c>
      <c r="CT23" s="356"/>
      <c r="CU23" s="356"/>
      <c r="CV23" s="356"/>
      <c r="CW23" s="146">
        <f>IF(AND(E23=0,AC23=0,BA23=0,BY23=0,0&lt;SUM(GodConversion!$BM11:$BR11)),1,0)</f>
        <v>0</v>
      </c>
      <c r="CX23" s="146">
        <f>IF(AND(F23=0,AD23=0,BB23=0,BZ23=0,CW$15&lt;SUM(GodConversion!$BM11:$BR11)),1,0)</f>
        <v>0</v>
      </c>
      <c r="CY23" s="146">
        <f>IF(AND(G23=0,AE23=0,BC23=0,CA23=0,CX$15&lt;SUM(GodConversion!$BM11:$BR11)),1,0)</f>
        <v>0</v>
      </c>
      <c r="CZ23" s="146">
        <f>IF(AND(H23=0,AF23=0,BD23=0,CB23=0,CY$15&lt;SUM(GodConversion!$BM11:$BR11)),1,0)</f>
        <v>0</v>
      </c>
      <c r="DA23" s="146">
        <f>IF(AND(I23=0,AG23=0,BE23=0,CC23=0,CZ$15&lt;SUM(GodConversion!$BM11:$BR11)),1,0)</f>
        <v>0</v>
      </c>
      <c r="DB23" s="146">
        <f>IF(AND(J23=0,AH23=0,BF23=0,CD23=0,DA$15&lt;SUM(GodConversion!$BM11:$BR11)),1,0)</f>
        <v>0</v>
      </c>
      <c r="DC23" s="146">
        <f>IF(AND(K23=0,AI23=0,BG23=0,CE23=0,DB$15&lt;SUM(GodConversion!$BM11:$BR11)),1,0)</f>
        <v>0</v>
      </c>
      <c r="DD23" s="146">
        <f>IF(AND(L23=0,AJ23=0,BH23=0,CF23=0,DC$15&lt;SUM(GodConversion!$BM11:$BR11)),1,0)</f>
        <v>0</v>
      </c>
      <c r="DE23" s="146">
        <f>IF(AND(M23=0,AK23=0,BI23=0,CG23=0,DD$15&lt;SUM(GodConversion!$BM11:$BR11)),1,0)</f>
        <v>0</v>
      </c>
      <c r="DF23" s="146">
        <f>IF(AND(N23=0,AL23=0,BJ23=0,CH23=0,DE$15&lt;SUM(GodConversion!$BM11:$BR11)),1,0)</f>
        <v>0</v>
      </c>
      <c r="DG23" s="149">
        <f>IF(AND(O23=0,AM23=0,BK23=0,CI23=0,DF$15&lt;SUM(GodConversion!$BM11:$BR11)),1,0)</f>
        <v>0</v>
      </c>
      <c r="DH23" s="690" t="s">
        <v>49</v>
      </c>
      <c r="DI23" s="356"/>
      <c r="DJ23" s="356"/>
      <c r="DK23" s="356"/>
      <c r="DL23" s="229">
        <f>IF(AND(T23=0,AR23=0,BP23=0,ES21=0,FB21=0,FK21=0,FT21=0,GC21=0,CN23=0,0&lt;GodConversion!$AC18+GodConversion!$AF18),1,0)</f>
        <v>0</v>
      </c>
      <c r="DM23" s="271">
        <f>IF(AND(U23=0,AS23=0,BQ23=0,ET21=0,FC21=0,FL21=0,FU21=0,GD21=0,CO23=0,1&lt;GodConversion!$AC18+GodConversion!$AF18),1,0)</f>
        <v>0</v>
      </c>
      <c r="DN23" s="271">
        <f>IF(AND(V23=0,AT23=0,BR23=0,EU21=0,FD21=0,FM21=0,FV21=0,GE21=0,CP23=0,2&lt;GodConversion!$AC18+GodConversion!$AF18),1,0)</f>
        <v>0</v>
      </c>
      <c r="DO23" s="271">
        <f>IF(AND(W23=0,AU23=0,BS23=0,EV21=0,FE21=0,FN21=0,FW21=0,GF21=0,CQ23=0,3&lt;GodConversion!$AC18+GodConversion!$AF18),1,0)</f>
        <v>0</v>
      </c>
      <c r="DP23" s="271">
        <f>IF(AND(X23=0,AV23=0,BT23=0,EW21=0,FF21=0,FO21=0,FX21=0,GG21=0,CR23=0,4&lt;GodConversion!$AC18+GodConversion!$AF18),1,0)</f>
        <v>0</v>
      </c>
      <c r="DQ23" s="677" t="s">
        <v>20</v>
      </c>
      <c r="DR23" s="356"/>
      <c r="DS23" s="356"/>
      <c r="DT23" s="356"/>
      <c r="DU23" s="146">
        <f>IF($AC23=1,IF(LOOKUP(CharacterSheet!$AK$7,AssociatedRef!$A$2:$A$130,AssociatedRef!$I$2:$I$130)="Yes",8,10),0)</f>
        <v>0</v>
      </c>
      <c r="DV23" s="146">
        <f>IF(AD23=1,IF(LOOKUP(CharacterSheet!$AK$7,AssociatedRef!$A$2:$A$130,AssociatedRef!$I$2:$I$130)="Yes",DU$15*4,DU$15*5),0)</f>
        <v>0</v>
      </c>
      <c r="DW23" s="146">
        <f>IF(AE23=1,IF(LOOKUP(CharacterSheet!$AK$7,AssociatedRef!$A$2:$A$130,AssociatedRef!$I$2:$I$130)="Yes",DV$15*4,DV$15*5),0)</f>
        <v>0</v>
      </c>
      <c r="DX23" s="146">
        <f>IF(AF23=1,IF(LOOKUP(CharacterSheet!$AK$7,AssociatedRef!$A$2:$A$130,AssociatedRef!$I$2:$I$130)="Yes",DW$15*4,DW$15*5),0)</f>
        <v>0</v>
      </c>
      <c r="DY23" s="146">
        <f>IF(AG23=1,IF(LOOKUP(CharacterSheet!$AK$7,AssociatedRef!$A$2:$A$130,AssociatedRef!$I$2:$I$130)="Yes",DX$15*4,DX$15*5),0)</f>
        <v>0</v>
      </c>
      <c r="DZ23" s="146">
        <f>IF(AH23=1,IF(LOOKUP(CharacterSheet!$AK$7,AssociatedRef!$A$2:$A$130,AssociatedRef!$I$2:$I$130)="Yes",DY$15*4,DY$15*5),0)</f>
        <v>0</v>
      </c>
      <c r="EA23" s="146">
        <f>IF(AI23=1,IF(LOOKUP(CharacterSheet!$AK$7,AssociatedRef!$A$2:$A$130,AssociatedRef!$I$2:$I$130)="Yes",DZ$15*4,DZ$15*5),0)</f>
        <v>0</v>
      </c>
      <c r="EB23" s="146">
        <f>IF(AJ23=1,IF(LOOKUP(CharacterSheet!$AK$7,AssociatedRef!$A$2:$A$130,AssociatedRef!$I$2:$I$130)="Yes",EA$15*4,EA$15*5),0)</f>
        <v>0</v>
      </c>
      <c r="EC23" s="146">
        <f>IF(AK23=1,IF(LOOKUP(CharacterSheet!$AK$7,AssociatedRef!$A$2:$A$130,AssociatedRef!$I$2:$I$130)="Yes",EB$15*4,EB$15*5),0)</f>
        <v>0</v>
      </c>
      <c r="ED23" s="146">
        <f>IF(AL23=1,IF(LOOKUP(CharacterSheet!$AK$7,AssociatedRef!$A$2:$A$130,AssociatedRef!$I$2:$I$130)="Yes",EC$15*4,EC$15*5),0)</f>
        <v>0</v>
      </c>
      <c r="EE23" s="149">
        <f>IF(AM23=1,IF(LOOKUP(CharacterSheet!$AK$7,AssociatedRef!$A$2:$A$130,AssociatedRef!$I$2:$I$130)="Yes",ED$15*4,ED$15*5),0)</f>
        <v>0</v>
      </c>
      <c r="EF23" s="677" t="s">
        <v>49</v>
      </c>
      <c r="EG23" s="356"/>
      <c r="EH23" s="356"/>
      <c r="EI23" s="356"/>
      <c r="EJ23" s="210">
        <f t="shared" si="11"/>
        <v>0</v>
      </c>
      <c r="EK23" s="210">
        <f t="shared" si="12"/>
        <v>0</v>
      </c>
      <c r="EL23" s="210">
        <f t="shared" si="13"/>
        <v>0</v>
      </c>
      <c r="EM23" s="210">
        <f t="shared" si="14"/>
        <v>0</v>
      </c>
      <c r="EN23" s="210">
        <f t="shared" si="15"/>
        <v>0</v>
      </c>
      <c r="EO23" s="702" t="s">
        <v>51</v>
      </c>
      <c r="EP23" s="703"/>
      <c r="EQ23" s="703"/>
      <c r="ER23" s="704"/>
      <c r="ES23" s="248"/>
      <c r="ET23" s="249"/>
      <c r="EU23" s="240"/>
      <c r="EV23" s="240"/>
      <c r="EW23" s="240"/>
      <c r="EX23" s="711" t="s">
        <v>51</v>
      </c>
      <c r="EY23" s="712"/>
      <c r="EZ23" s="712"/>
      <c r="FA23" s="714"/>
      <c r="FB23" s="236"/>
      <c r="FC23" s="237"/>
      <c r="FD23" s="237"/>
      <c r="FE23" s="237"/>
      <c r="FF23" s="238"/>
      <c r="FG23" s="721" t="s">
        <v>51</v>
      </c>
      <c r="FH23" s="712"/>
      <c r="FI23" s="712"/>
      <c r="FJ23" s="713"/>
      <c r="FK23" s="236"/>
      <c r="FL23" s="237"/>
      <c r="FM23" s="237"/>
      <c r="FN23" s="237"/>
      <c r="FO23" s="238"/>
      <c r="FP23" s="711" t="s">
        <v>51</v>
      </c>
      <c r="FQ23" s="712"/>
      <c r="FR23" s="712"/>
      <c r="FS23" s="713"/>
      <c r="FT23" s="236"/>
      <c r="FU23" s="237"/>
      <c r="FV23" s="237"/>
      <c r="FW23" s="237"/>
      <c r="FX23" s="238"/>
      <c r="FY23" s="711" t="s">
        <v>51</v>
      </c>
      <c r="FZ23" s="712"/>
      <c r="GA23" s="712"/>
      <c r="GB23" s="713"/>
      <c r="GC23" s="236"/>
      <c r="GD23" s="237"/>
      <c r="GE23" s="237"/>
      <c r="GF23" s="237"/>
      <c r="GG23" s="238"/>
      <c r="GK23" s="223" t="s">
        <v>51</v>
      </c>
      <c r="GL23" s="223">
        <f t="shared" si="8"/>
        <v>0</v>
      </c>
      <c r="GM23" s="223">
        <f>IF($GK23=Creation!$Q$28,1,0)</f>
        <v>0</v>
      </c>
      <c r="GN23" s="223">
        <f>IF($GK23=Creation!$Q$29,1,0)</f>
        <v>0</v>
      </c>
      <c r="GO23" s="223">
        <f>IF($GK23=Creation!$Q$30,1,0)</f>
        <v>0</v>
      </c>
      <c r="GP23" s="223">
        <f>IF($GK23=Creation!$Q$31,1,0)</f>
        <v>0</v>
      </c>
      <c r="GQ23" s="223">
        <f>IF($GK23=Creation!$Q$32,1,0)</f>
        <v>0</v>
      </c>
      <c r="GR23" s="223">
        <f>IF($GK23=Creation!$Q$33,1,0)</f>
        <v>0</v>
      </c>
    </row>
    <row r="24" spans="1:200" ht="15.75" thickBot="1" x14ac:dyDescent="0.3">
      <c r="A24" s="679" t="s">
        <v>21</v>
      </c>
      <c r="B24" s="434"/>
      <c r="C24" s="434"/>
      <c r="D24" s="434"/>
      <c r="E24" s="150">
        <f>IF(Creation!BO12+Creation!BQ12&gt;0,1,0)</f>
        <v>0</v>
      </c>
      <c r="F24" s="150">
        <f>IF(Creation!BO12+Creation!BQ12&gt;1,1,0)</f>
        <v>0</v>
      </c>
      <c r="G24" s="150">
        <f>IF(Creation!BO12+Creation!BQ12&gt;2,1,0)</f>
        <v>0</v>
      </c>
      <c r="H24" s="150">
        <f>IF(Creation!BO12+Creation!BQ12&gt;3,1,0)</f>
        <v>0</v>
      </c>
      <c r="I24" s="150">
        <f>IF(Creation!BO12+Creation!BQ12&gt;4,1,0)</f>
        <v>0</v>
      </c>
      <c r="J24" s="150">
        <f>IF(Creation!BO12+Creation!BQ12&gt;5,1,0)</f>
        <v>0</v>
      </c>
      <c r="K24" s="150">
        <f>IF(Creation!BO12+Creation!BQ12&gt;6,1,0)</f>
        <v>0</v>
      </c>
      <c r="L24" s="150">
        <f>IF(Creation!BO12+Creation!BQ12&gt;7,1,0)</f>
        <v>0</v>
      </c>
      <c r="M24" s="150">
        <f>IF(Creation!BO12+Creation!BQ12&gt;8,1,0)</f>
        <v>0</v>
      </c>
      <c r="N24" s="150">
        <f>IF(Creation!BO12+Creation!BQ12&gt;9,1,0)</f>
        <v>0</v>
      </c>
      <c r="O24" s="160">
        <f>IF(Creation!BO12+Creation!BQ12&gt;10,1,0)</f>
        <v>0</v>
      </c>
      <c r="P24" s="677" t="s">
        <v>50</v>
      </c>
      <c r="Q24" s="356"/>
      <c r="R24" s="356"/>
      <c r="S24" s="356"/>
      <c r="T24" s="146">
        <f>IF(Creation!AC19+Creation!AF19&gt;0,1,0)</f>
        <v>0</v>
      </c>
      <c r="U24" s="146">
        <f>IF(Creation!AC19+Creation!AF19&gt;1,1,0)</f>
        <v>0</v>
      </c>
      <c r="V24" s="146">
        <f>IF(Creation!AC19+Creation!AF19&gt;2,1,0)</f>
        <v>0</v>
      </c>
      <c r="W24" s="146">
        <f>IF(Creation!AC19+Creation!AF19&gt;3,1,0)</f>
        <v>0</v>
      </c>
      <c r="X24" s="147">
        <f>IF(Creation!AC19+Creation!AF19&gt;4,1,0)</f>
        <v>0</v>
      </c>
      <c r="Y24" s="679" t="s">
        <v>21</v>
      </c>
      <c r="Z24" s="434"/>
      <c r="AA24" s="434"/>
      <c r="AB24" s="474"/>
      <c r="AC24" s="242"/>
      <c r="AD24" s="243"/>
      <c r="AE24" s="243"/>
      <c r="AF24" s="243"/>
      <c r="AG24" s="243"/>
      <c r="AH24" s="243"/>
      <c r="AI24" s="243"/>
      <c r="AJ24" s="243"/>
      <c r="AK24" s="243"/>
      <c r="AL24" s="243"/>
      <c r="AM24" s="244"/>
      <c r="AN24" s="677" t="s">
        <v>50</v>
      </c>
      <c r="AO24" s="356"/>
      <c r="AP24" s="356"/>
      <c r="AQ24" s="401"/>
      <c r="AR24" s="239"/>
      <c r="AS24" s="240"/>
      <c r="AT24" s="240"/>
      <c r="AU24" s="240"/>
      <c r="AV24" s="241"/>
      <c r="AW24" s="457" t="s">
        <v>21</v>
      </c>
      <c r="AX24" s="434"/>
      <c r="AY24" s="434"/>
      <c r="AZ24" s="474"/>
      <c r="BA24" s="251"/>
      <c r="BB24" s="243"/>
      <c r="BC24" s="243"/>
      <c r="BD24" s="243"/>
      <c r="BE24" s="243"/>
      <c r="BF24" s="243"/>
      <c r="BG24" s="243"/>
      <c r="BH24" s="243"/>
      <c r="BI24" s="243"/>
      <c r="BJ24" s="243"/>
      <c r="BK24" s="244"/>
      <c r="BL24" s="677" t="s">
        <v>50</v>
      </c>
      <c r="BM24" s="356"/>
      <c r="BN24" s="356"/>
      <c r="BO24" s="401"/>
      <c r="BP24" s="250"/>
      <c r="BQ24" s="240"/>
      <c r="BR24" s="240"/>
      <c r="BS24" s="240"/>
      <c r="BT24" s="241"/>
      <c r="BU24" s="457" t="s">
        <v>21</v>
      </c>
      <c r="BV24" s="434"/>
      <c r="BW24" s="434"/>
      <c r="BX24" s="434"/>
      <c r="BY24" s="150">
        <f>IF(AND(E24=0,AC24=0,BA24=0,DemigodConversion!$BM12+DemigodConversion!$BO12+DemigodConversion!$BQ12&gt;0),1,0)</f>
        <v>0</v>
      </c>
      <c r="BZ24" s="150">
        <f>IF(SUM($BY24:BY24)=SUM(DemigodConversion!$BO12:$BR12),0,IF(AND(F24=0,AD24=0,BB24=0,DemigodConversion!$BM12+DemigodConversion!$BO12+DemigodConversion!$BQ12&gt;BY$15),1,0))</f>
        <v>0</v>
      </c>
      <c r="CA24" s="150">
        <f>IF(SUM($BY24:BZ24)=SUM(DemigodConversion!$BO12:$BR12),0,IF(AND(G24=0,AE24=0,BC24=0,DemigodConversion!$BM12+DemigodConversion!$BO12+DemigodConversion!$BQ12&gt;BZ$15),1,0))</f>
        <v>0</v>
      </c>
      <c r="CB24" s="150">
        <f>IF(SUM($BY24:CA24)=SUM(DemigodConversion!$BO12:$BR12),0,IF(AND(H24=0,AF24=0,BD24=0,DemigodConversion!$BM12+DemigodConversion!$BO12+DemigodConversion!$BQ12&gt;CA$15),1,0))</f>
        <v>0</v>
      </c>
      <c r="CC24" s="150">
        <f>IF(SUM($BY24:CB24)=SUM(DemigodConversion!$BO12:$BR12),0,IF(AND(I24=0,AG24=0,BE24=0,DemigodConversion!$BM12+DemigodConversion!$BO12+DemigodConversion!$BQ12&gt;CB$15),1,0))</f>
        <v>0</v>
      </c>
      <c r="CD24" s="150">
        <f>IF(SUM($BY24:CC24)=SUM(DemigodConversion!$BO12:$BR12),0,IF(AND(J24=0,AH24=0,BF24=0,DemigodConversion!$BM12+DemigodConversion!$BO12+DemigodConversion!$BQ12&gt;CC$15),1,0))</f>
        <v>0</v>
      </c>
      <c r="CE24" s="150">
        <f>IF(SUM($BY24:CD24)=SUM(DemigodConversion!$BO12:$BR12),0,IF(AND(K24=0,AI24=0,BG24=0,DemigodConversion!$BM12+DemigodConversion!$BO12+DemigodConversion!$BQ12&gt;CD$15),1,0))</f>
        <v>0</v>
      </c>
      <c r="CF24" s="150">
        <f>IF(SUM($BY24:CE24)=SUM(DemigodConversion!$BO12:$BR12),0,IF(AND(L24=0,AJ24=0,BH24=0,DemigodConversion!$BM12+DemigodConversion!$BO12+DemigodConversion!$BQ12&gt;CE$15),1,0))</f>
        <v>0</v>
      </c>
      <c r="CG24" s="150">
        <f>IF(SUM($BY24:CF24)=SUM(DemigodConversion!$BO12:$BR12),0,IF(AND(M24=0,AK24=0,BI24=0,DemigodConversion!$BM12+DemigodConversion!$BO12+DemigodConversion!$BQ12&gt;CF$15),1,0))</f>
        <v>0</v>
      </c>
      <c r="CH24" s="150">
        <f>IF(SUM($BY24:CG24)=SUM(DemigodConversion!$BO12:$BR12),0,IF(AND(N24=0,AL24=0,BJ24=0,DemigodConversion!$BM12+DemigodConversion!$BO12+DemigodConversion!$BQ12&gt;CG$15),1,0))</f>
        <v>0</v>
      </c>
      <c r="CI24" s="151">
        <f>IF(SUM($BY24:CH24)=SUM(DemigodConversion!$BO12:$BR12),0,IF(AND(O24=0,AM24=0,BK24=0,DemigodConversion!$BM12+DemigodConversion!$BO12+DemigodConversion!$BQ12&gt;CH$15),1,0))</f>
        <v>0</v>
      </c>
      <c r="CJ24" s="677" t="s">
        <v>50</v>
      </c>
      <c r="CK24" s="356"/>
      <c r="CL24" s="356"/>
      <c r="CM24" s="356"/>
      <c r="CN24" s="229">
        <f>IF(AND(T24=0,AR24=0,BP24=0,FB22=0,FK22=0,FT22=0,GC22=0,ES22=0,DemigodConversion!$AC19+DemigodConversion!$AF19&gt;0),1,0)</f>
        <v>0</v>
      </c>
      <c r="CO24" s="271">
        <f>IF(AND(U24=0,AS24=0,BQ24=0,FC22=0,FL22=0,FU22=0,GD22=0,ET22=0,DemigodConversion!$AC19+DemigodConversion!$AF19&gt;1),1,0)</f>
        <v>0</v>
      </c>
      <c r="CP24" s="271">
        <f>IF(AND(V24=0,AT24=0,BR24=0,FD22=0,FM22=0,FV22=0,GE22=0,EU22=0,DemigodConversion!$AC19+DemigodConversion!$AF19&gt;2),1,0)</f>
        <v>0</v>
      </c>
      <c r="CQ24" s="271">
        <f>IF(AND(W24=0,AU24=0,BS24=0,FE22=0,FN22=0,FW22=0,GF22=0,EV22=0,DemigodConversion!$AC19+DemigodConversion!$AF19&gt;3),1,0)</f>
        <v>0</v>
      </c>
      <c r="CR24" s="271">
        <f>IF(AND(X24=0,AV24=0,BT24=0,FF22=0,FO22=0,FX22=0,GG22=0,EW22=0,DemigodConversion!$AC19+DemigodConversion!$AF19&gt;4),1,0)</f>
        <v>0</v>
      </c>
      <c r="CS24" s="457" t="s">
        <v>21</v>
      </c>
      <c r="CT24" s="434"/>
      <c r="CU24" s="434"/>
      <c r="CV24" s="434"/>
      <c r="CW24" s="150">
        <f>IF(AND(E24=0,AC24=0,BA24=0,BY24=0,0&lt;SUM(GodConversion!$BM12:$BR12)),1,0)</f>
        <v>0</v>
      </c>
      <c r="CX24" s="150">
        <f>IF(AND(F24=0,AD24=0,BB24=0,BZ24=0,CW$15&lt;SUM(GodConversion!$BM12:$BR12)),1,0)</f>
        <v>0</v>
      </c>
      <c r="CY24" s="150">
        <f>IF(AND(G24=0,AE24=0,BC24=0,CA24=0,CX$15&lt;SUM(GodConversion!$BM12:$BR12)),1,0)</f>
        <v>0</v>
      </c>
      <c r="CZ24" s="150">
        <f>IF(AND(H24=0,AF24=0,BD24=0,CB24=0,CY$15&lt;SUM(GodConversion!$BM12:$BR12)),1,0)</f>
        <v>0</v>
      </c>
      <c r="DA24" s="150">
        <f>IF(AND(I24=0,AG24=0,BE24=0,CC24=0,CZ$15&lt;SUM(GodConversion!$BM12:$BR12)),1,0)</f>
        <v>0</v>
      </c>
      <c r="DB24" s="150">
        <f>IF(AND(J24=0,AH24=0,BF24=0,CD24=0,DA$15&lt;SUM(GodConversion!$BM12:$BR12)),1,0)</f>
        <v>0</v>
      </c>
      <c r="DC24" s="150">
        <f>IF(AND(K24=0,AI24=0,BG24=0,CE24=0,DB$15&lt;SUM(GodConversion!$BM12:$BR12)),1,0)</f>
        <v>0</v>
      </c>
      <c r="DD24" s="150">
        <f>IF(AND(L24=0,AJ24=0,BH24=0,CF24=0,DC$15&lt;SUM(GodConversion!$BM12:$BR12)),1,0)</f>
        <v>0</v>
      </c>
      <c r="DE24" s="150">
        <f>IF(AND(M24=0,AK24=0,BI24=0,CG24=0,DD$15&lt;SUM(GodConversion!$BM12:$BR12)),1,0)</f>
        <v>0</v>
      </c>
      <c r="DF24" s="150">
        <f>IF(AND(N24=0,AL24=0,BJ24=0,CH24=0,DE$15&lt;SUM(GodConversion!$BM12:$BR12)),1,0)</f>
        <v>0</v>
      </c>
      <c r="DG24" s="160">
        <f>IF(AND(O24=0,AM24=0,BK24=0,CI24=0,DF$15&lt;SUM(GodConversion!$BM12:$BR12)),1,0)</f>
        <v>0</v>
      </c>
      <c r="DH24" s="690" t="s">
        <v>50</v>
      </c>
      <c r="DI24" s="356"/>
      <c r="DJ24" s="356"/>
      <c r="DK24" s="356"/>
      <c r="DL24" s="229">
        <f>IF(AND(T24=0,AR24=0,BP24=0,ES22=0,FB22=0,FK22=0,FT22=0,GC22=0,CN24=0,0&lt;GodConversion!$AC19+GodConversion!$AF19),1,0)</f>
        <v>0</v>
      </c>
      <c r="DM24" s="271">
        <f>IF(AND(U24=0,AS24=0,BQ24=0,ET22=0,FC22=0,FL22=0,FU22=0,GD22=0,CO24=0,1&lt;GodConversion!$AC19+GodConversion!$AF19),1,0)</f>
        <v>0</v>
      </c>
      <c r="DN24" s="271">
        <f>IF(AND(V24=0,AT24=0,BR24=0,EU22=0,FD22=0,FM22=0,FV22=0,GE22=0,CP24=0,2&lt;GodConversion!$AC19+GodConversion!$AF19),1,0)</f>
        <v>0</v>
      </c>
      <c r="DO24" s="271">
        <f>IF(AND(W24=0,AU24=0,BS24=0,EV22=0,FE22=0,FN22=0,FW22=0,GF22=0,CQ24=0,3&lt;GodConversion!$AC19+GodConversion!$AF19),1,0)</f>
        <v>0</v>
      </c>
      <c r="DP24" s="271">
        <f>IF(AND(X24=0,AV24=0,BT24=0,EW22=0,FF22=0,FO22=0,FX22=0,GG22=0,CR24=0,4&lt;GodConversion!$AC19+GodConversion!$AF19),1,0)</f>
        <v>0</v>
      </c>
      <c r="DQ24" s="679" t="s">
        <v>21</v>
      </c>
      <c r="DR24" s="434"/>
      <c r="DS24" s="434"/>
      <c r="DT24" s="434"/>
      <c r="DU24" s="150">
        <f>IF($AC24=1,IF(LOOKUP(CharacterSheet!$AK$7,AssociatedRef!$A$2:$A$130,AssociatedRef!$J$2:$J$130)="Yes",8,10),0)</f>
        <v>0</v>
      </c>
      <c r="DV24" s="150">
        <f>IF(AD24=1,IF(LOOKUP(CharacterSheet!$AK$7,AssociatedRef!$A$2:$A$130,AssociatedRef!$J$2:$J$130)="Yes",DU$15*4,DU$15*5),0)</f>
        <v>0</v>
      </c>
      <c r="DW24" s="150">
        <f>IF(AE24=1,IF(LOOKUP(CharacterSheet!$AK$7,AssociatedRef!$A$2:$A$130,AssociatedRef!$J$2:$J$130)="Yes",DV$15*4,DV$15*5),0)</f>
        <v>0</v>
      </c>
      <c r="DX24" s="150">
        <f>IF(AF24=1,IF(LOOKUP(CharacterSheet!$AK$7,AssociatedRef!$A$2:$A$130,AssociatedRef!$J$2:$J$130)="Yes",DW$15*4,DW$15*5),0)</f>
        <v>0</v>
      </c>
      <c r="DY24" s="150">
        <f>IF(AG24=1,IF(LOOKUP(CharacterSheet!$AK$7,AssociatedRef!$A$2:$A$130,AssociatedRef!$J$2:$J$130)="Yes",DX$15*4,DX$15*5),0)</f>
        <v>0</v>
      </c>
      <c r="DZ24" s="150">
        <f>IF(AH24=1,IF(LOOKUP(CharacterSheet!$AK$7,AssociatedRef!$A$2:$A$130,AssociatedRef!$J$2:$J$130)="Yes",DY$15*4,DY$15*5),0)</f>
        <v>0</v>
      </c>
      <c r="EA24" s="150">
        <f>IF(AI24=1,IF(LOOKUP(CharacterSheet!$AK$7,AssociatedRef!$A$2:$A$130,AssociatedRef!$J$2:$J$130)="Yes",DZ$15*4,DZ$15*5),0)</f>
        <v>0</v>
      </c>
      <c r="EB24" s="150">
        <f>IF(AJ24=1,IF(LOOKUP(CharacterSheet!$AK$7,AssociatedRef!$A$2:$A$130,AssociatedRef!$J$2:$J$130)="Yes",EA$15*4,EA$15*5),0)</f>
        <v>0</v>
      </c>
      <c r="EC24" s="150">
        <f>IF(AK24=1,IF(LOOKUP(CharacterSheet!$AK$7,AssociatedRef!$A$2:$A$130,AssociatedRef!$J$2:$J$130)="Yes",EB$15*4,EB$15*5),0)</f>
        <v>0</v>
      </c>
      <c r="ED24" s="150">
        <f>IF(AL24=1,IF(LOOKUP(CharacterSheet!$AK$7,AssociatedRef!$A$2:$A$130,AssociatedRef!$J$2:$J$130)="Yes",EC$15*4,EC$15*5),0)</f>
        <v>0</v>
      </c>
      <c r="EE24" s="160">
        <f>IF(AM24=1,IF(LOOKUP(CharacterSheet!$AK$7,AssociatedRef!$A$2:$A$130,AssociatedRef!$J$2:$J$130)="Yes",ED$15*4,ED$15*5),0)</f>
        <v>0</v>
      </c>
      <c r="EF24" s="677" t="s">
        <v>50</v>
      </c>
      <c r="EG24" s="356"/>
      <c r="EH24" s="356"/>
      <c r="EI24" s="356"/>
      <c r="EJ24" s="210">
        <f t="shared" si="11"/>
        <v>0</v>
      </c>
      <c r="EK24" s="210">
        <f t="shared" si="12"/>
        <v>0</v>
      </c>
      <c r="EL24" s="210">
        <f t="shared" si="13"/>
        <v>0</v>
      </c>
      <c r="EM24" s="210">
        <f t="shared" si="14"/>
        <v>0</v>
      </c>
      <c r="EN24" s="210">
        <f t="shared" si="15"/>
        <v>0</v>
      </c>
      <c r="EO24" s="702" t="s">
        <v>52</v>
      </c>
      <c r="EP24" s="703"/>
      <c r="EQ24" s="703"/>
      <c r="ER24" s="704"/>
      <c r="ES24" s="248"/>
      <c r="ET24" s="249"/>
      <c r="EU24" s="240"/>
      <c r="EV24" s="240"/>
      <c r="EW24" s="240"/>
      <c r="EX24" s="711" t="s">
        <v>52</v>
      </c>
      <c r="EY24" s="712"/>
      <c r="EZ24" s="712"/>
      <c r="FA24" s="714"/>
      <c r="FB24" s="236"/>
      <c r="FC24" s="237"/>
      <c r="FD24" s="237"/>
      <c r="FE24" s="237"/>
      <c r="FF24" s="238"/>
      <c r="FG24" s="721" t="s">
        <v>52</v>
      </c>
      <c r="FH24" s="712"/>
      <c r="FI24" s="712"/>
      <c r="FJ24" s="713"/>
      <c r="FK24" s="236"/>
      <c r="FL24" s="237"/>
      <c r="FM24" s="237"/>
      <c r="FN24" s="237"/>
      <c r="FO24" s="238"/>
      <c r="FP24" s="711" t="s">
        <v>52</v>
      </c>
      <c r="FQ24" s="712"/>
      <c r="FR24" s="712"/>
      <c r="FS24" s="713"/>
      <c r="FT24" s="236"/>
      <c r="FU24" s="237"/>
      <c r="FV24" s="237"/>
      <c r="FW24" s="237"/>
      <c r="FX24" s="238"/>
      <c r="FY24" s="711" t="s">
        <v>52</v>
      </c>
      <c r="FZ24" s="712"/>
      <c r="GA24" s="712"/>
      <c r="GB24" s="713"/>
      <c r="GC24" s="236"/>
      <c r="GD24" s="237"/>
      <c r="GE24" s="237"/>
      <c r="GF24" s="237"/>
      <c r="GG24" s="238"/>
      <c r="GK24" s="223" t="s">
        <v>52</v>
      </c>
      <c r="GL24" s="223">
        <f t="shared" si="8"/>
        <v>0</v>
      </c>
      <c r="GM24" s="223">
        <f>IF($GK24=Creation!$Q$28,1,0)</f>
        <v>0</v>
      </c>
      <c r="GN24" s="223">
        <f>IF($GK24=Creation!$Q$29,1,0)</f>
        <v>0</v>
      </c>
      <c r="GO24" s="223">
        <f>IF($GK24=Creation!$Q$30,1,0)</f>
        <v>0</v>
      </c>
      <c r="GP24" s="223">
        <f>IF($GK24=Creation!$Q$31,1,0)</f>
        <v>0</v>
      </c>
      <c r="GQ24" s="223">
        <f>IF($GK24=Creation!$Q$32,1,0)</f>
        <v>0</v>
      </c>
      <c r="GR24" s="223">
        <f>IF($GK24=Creation!$Q$33,1,0)</f>
        <v>0</v>
      </c>
    </row>
    <row r="25" spans="1:200" x14ac:dyDescent="0.25">
      <c r="A25" s="392" t="s">
        <v>83</v>
      </c>
      <c r="B25" s="391"/>
      <c r="C25" s="391"/>
      <c r="D25" s="391"/>
      <c r="E25" s="391"/>
      <c r="F25" s="157">
        <v>1</v>
      </c>
      <c r="G25" s="157">
        <v>2</v>
      </c>
      <c r="H25" s="157">
        <v>3</v>
      </c>
      <c r="I25" s="6">
        <v>4</v>
      </c>
      <c r="J25" s="6">
        <v>5</v>
      </c>
      <c r="K25" s="6">
        <v>6</v>
      </c>
      <c r="L25" s="6">
        <v>7</v>
      </c>
      <c r="M25" s="6">
        <v>8</v>
      </c>
      <c r="N25" s="6">
        <v>9</v>
      </c>
      <c r="O25" s="7">
        <v>10</v>
      </c>
      <c r="P25" s="677" t="s">
        <v>51</v>
      </c>
      <c r="Q25" s="356"/>
      <c r="R25" s="356"/>
      <c r="S25" s="356"/>
      <c r="T25" s="146">
        <f>IF(Creation!AC20+Creation!AF20&gt;0,1,0)</f>
        <v>0</v>
      </c>
      <c r="U25" s="146">
        <f>IF(Creation!AC20+Creation!AF20&gt;1,1,0)</f>
        <v>0</v>
      </c>
      <c r="V25" s="146">
        <f>IF(Creation!AC20+Creation!AF20&gt;2,1,0)</f>
        <v>0</v>
      </c>
      <c r="W25" s="146">
        <f>IF(Creation!AC20+Creation!AF20&gt;3,1,0)</f>
        <v>0</v>
      </c>
      <c r="X25" s="147">
        <f>IF(Creation!AC20+Creation!AF20&gt;4,1,0)</f>
        <v>0</v>
      </c>
      <c r="Y25" s="392" t="s">
        <v>83</v>
      </c>
      <c r="Z25" s="391"/>
      <c r="AA25" s="391"/>
      <c r="AB25" s="391"/>
      <c r="AC25" s="409"/>
      <c r="AD25" s="219">
        <v>1</v>
      </c>
      <c r="AE25" s="135">
        <v>2</v>
      </c>
      <c r="AF25" s="135">
        <v>3</v>
      </c>
      <c r="AG25" s="135">
        <v>4</v>
      </c>
      <c r="AH25" s="135">
        <v>5</v>
      </c>
      <c r="AI25" s="207">
        <v>6</v>
      </c>
      <c r="AJ25" s="207">
        <v>7</v>
      </c>
      <c r="AK25" s="207">
        <v>8</v>
      </c>
      <c r="AL25" s="207">
        <v>9</v>
      </c>
      <c r="AM25" s="209">
        <v>10</v>
      </c>
      <c r="AN25" s="677" t="s">
        <v>51</v>
      </c>
      <c r="AO25" s="356"/>
      <c r="AP25" s="356"/>
      <c r="AQ25" s="401"/>
      <c r="AR25" s="239"/>
      <c r="AS25" s="240"/>
      <c r="AT25" s="240"/>
      <c r="AU25" s="240"/>
      <c r="AV25" s="241"/>
      <c r="AW25" s="390" t="s">
        <v>83</v>
      </c>
      <c r="AX25" s="391"/>
      <c r="AY25" s="391"/>
      <c r="AZ25" s="391"/>
      <c r="BA25" s="409"/>
      <c r="BB25" s="134">
        <v>1</v>
      </c>
      <c r="BC25" s="135">
        <v>2</v>
      </c>
      <c r="BD25" s="135">
        <v>3</v>
      </c>
      <c r="BE25" s="135">
        <v>4</v>
      </c>
      <c r="BF25" s="135">
        <v>5</v>
      </c>
      <c r="BG25" s="156">
        <v>6</v>
      </c>
      <c r="BH25" s="156">
        <v>7</v>
      </c>
      <c r="BI25" s="156">
        <v>8</v>
      </c>
      <c r="BJ25" s="156">
        <v>9</v>
      </c>
      <c r="BK25" s="182">
        <v>10</v>
      </c>
      <c r="BL25" s="677" t="s">
        <v>51</v>
      </c>
      <c r="BM25" s="356"/>
      <c r="BN25" s="356"/>
      <c r="BO25" s="401"/>
      <c r="BP25" s="250"/>
      <c r="BQ25" s="240"/>
      <c r="BR25" s="240"/>
      <c r="BS25" s="240"/>
      <c r="BT25" s="241"/>
      <c r="BU25" s="688" t="s">
        <v>83</v>
      </c>
      <c r="BV25" s="689"/>
      <c r="BW25" s="689"/>
      <c r="BX25" s="689"/>
      <c r="BY25" s="689"/>
      <c r="BZ25" s="56">
        <v>1</v>
      </c>
      <c r="CA25" s="56">
        <v>2</v>
      </c>
      <c r="CB25" s="56">
        <v>3</v>
      </c>
      <c r="CC25" s="57">
        <v>4</v>
      </c>
      <c r="CD25" s="57">
        <v>5</v>
      </c>
      <c r="CE25" s="57">
        <v>6</v>
      </c>
      <c r="CF25" s="57">
        <v>7</v>
      </c>
      <c r="CG25" s="57">
        <v>8</v>
      </c>
      <c r="CH25" s="57">
        <v>9</v>
      </c>
      <c r="CI25" s="59">
        <v>10</v>
      </c>
      <c r="CJ25" s="677" t="s">
        <v>51</v>
      </c>
      <c r="CK25" s="356"/>
      <c r="CL25" s="356"/>
      <c r="CM25" s="356"/>
      <c r="CN25" s="229">
        <f>IF(AND(T25=0,AR25=0,BP25=0,FB23=0,FK23=0,FT23=0,GC23=0,ES23=0,DemigodConversion!$AC20+DemigodConversion!$AF20&gt;0),1,0)</f>
        <v>0</v>
      </c>
      <c r="CO25" s="271">
        <f>IF(AND(U25=0,AS25=0,BQ25=0,FC23=0,FL23=0,FU23=0,GD23=0,ET23=0,DemigodConversion!$AC20+DemigodConversion!$AF20&gt;1),1,0)</f>
        <v>0</v>
      </c>
      <c r="CP25" s="271">
        <f>IF(AND(V25=0,AT25=0,BR25=0,FD23=0,FM23=0,FV23=0,GE23=0,EU23=0,DemigodConversion!$AC20+DemigodConversion!$AF20&gt;2),1,0)</f>
        <v>0</v>
      </c>
      <c r="CQ25" s="271">
        <f>IF(AND(W25=0,AU25=0,BS25=0,FE23=0,FN23=0,FW23=0,GF23=0,EV23=0,DemigodConversion!$AC20+DemigodConversion!$AF20&gt;3),1,0)</f>
        <v>0</v>
      </c>
      <c r="CR25" s="271">
        <f>IF(AND(X25=0,AV25=0,BT25=0,FF23=0,FO23=0,FX23=0,GG23=0,EW23=0,DemigodConversion!$AC20+DemigodConversion!$AF20&gt;4),1,0)</f>
        <v>0</v>
      </c>
      <c r="CS25" s="688" t="s">
        <v>83</v>
      </c>
      <c r="CT25" s="689"/>
      <c r="CU25" s="689"/>
      <c r="CV25" s="689"/>
      <c r="CW25" s="689"/>
      <c r="CX25" s="56">
        <v>1</v>
      </c>
      <c r="CY25" s="56">
        <v>2</v>
      </c>
      <c r="CZ25" s="56">
        <v>3</v>
      </c>
      <c r="DA25" s="57">
        <v>4</v>
      </c>
      <c r="DB25" s="57">
        <v>5</v>
      </c>
      <c r="DC25" s="57">
        <v>6</v>
      </c>
      <c r="DD25" s="57">
        <v>7</v>
      </c>
      <c r="DE25" s="57">
        <v>8</v>
      </c>
      <c r="DF25" s="57">
        <v>9</v>
      </c>
      <c r="DG25" s="58">
        <v>10</v>
      </c>
      <c r="DH25" s="677" t="s">
        <v>51</v>
      </c>
      <c r="DI25" s="356"/>
      <c r="DJ25" s="356"/>
      <c r="DK25" s="356"/>
      <c r="DL25" s="229">
        <f>IF(AND(T25=0,AR25=0,BP25=0,ES23=0,FB23=0,FK23=0,FT23=0,GC23=0,CN25=0,0&lt;GodConversion!$AC20+GodConversion!$AF20),1,0)</f>
        <v>0</v>
      </c>
      <c r="DM25" s="271">
        <f>IF(AND(U25=0,AS25=0,BQ25=0,ET23=0,FC23=0,FL23=0,FU23=0,GD23=0,CO25=0,1&lt;GodConversion!$AC20+GodConversion!$AF20),1,0)</f>
        <v>0</v>
      </c>
      <c r="DN25" s="271">
        <f>IF(AND(V25=0,AT25=0,BR25=0,EU23=0,FD23=0,FM23=0,FV23=0,GE23=0,CP25=0,2&lt;GodConversion!$AC20+GodConversion!$AF20),1,0)</f>
        <v>0</v>
      </c>
      <c r="DO25" s="271">
        <f>IF(AND(W25=0,AU25=0,BS25=0,EV23=0,FE23=0,FN23=0,FW23=0,GF23=0,CQ25=0,3&lt;GodConversion!$AC20+GodConversion!$AF20),1,0)</f>
        <v>0</v>
      </c>
      <c r="DP25" s="271">
        <f>IF(AND(X25=0,AV25=0,BT25=0,EW23=0,FF23=0,FO23=0,FX23=0,GG23=0,CR25=0,4&lt;GodConversion!$AC20+GodConversion!$AF20),1,0)</f>
        <v>0</v>
      </c>
      <c r="DQ25" s="392" t="s">
        <v>83</v>
      </c>
      <c r="DR25" s="391"/>
      <c r="DS25" s="391"/>
      <c r="DT25" s="391"/>
      <c r="DU25" s="391"/>
      <c r="DV25" s="157">
        <v>1</v>
      </c>
      <c r="DW25" s="157">
        <v>2</v>
      </c>
      <c r="DX25" s="157">
        <v>3</v>
      </c>
      <c r="DY25" s="6">
        <v>4</v>
      </c>
      <c r="DZ25" s="6">
        <v>5</v>
      </c>
      <c r="EA25" s="6">
        <v>6</v>
      </c>
      <c r="EB25" s="6">
        <v>7</v>
      </c>
      <c r="EC25" s="6">
        <v>8</v>
      </c>
      <c r="ED25" s="6">
        <v>9</v>
      </c>
      <c r="EE25" s="7">
        <v>10</v>
      </c>
      <c r="EF25" s="677" t="s">
        <v>51</v>
      </c>
      <c r="EG25" s="356"/>
      <c r="EH25" s="356"/>
      <c r="EI25" s="356"/>
      <c r="EJ25" s="210">
        <f t="shared" si="11"/>
        <v>0</v>
      </c>
      <c r="EK25" s="210">
        <f t="shared" si="12"/>
        <v>0</v>
      </c>
      <c r="EL25" s="210">
        <f t="shared" si="13"/>
        <v>0</v>
      </c>
      <c r="EM25" s="210">
        <f t="shared" si="14"/>
        <v>0</v>
      </c>
      <c r="EN25" s="210">
        <f t="shared" si="15"/>
        <v>0</v>
      </c>
      <c r="EO25" s="702" t="s">
        <v>53</v>
      </c>
      <c r="EP25" s="703"/>
      <c r="EQ25" s="703"/>
      <c r="ER25" s="704"/>
      <c r="ES25" s="248"/>
      <c r="ET25" s="249"/>
      <c r="EU25" s="240"/>
      <c r="EV25" s="240"/>
      <c r="EW25" s="240"/>
      <c r="EX25" s="711" t="s">
        <v>53</v>
      </c>
      <c r="EY25" s="712"/>
      <c r="EZ25" s="712"/>
      <c r="FA25" s="714"/>
      <c r="FB25" s="236"/>
      <c r="FC25" s="237"/>
      <c r="FD25" s="237"/>
      <c r="FE25" s="237"/>
      <c r="FF25" s="238"/>
      <c r="FG25" s="690" t="s">
        <v>53</v>
      </c>
      <c r="FH25" s="356"/>
      <c r="FI25" s="356"/>
      <c r="FJ25" s="401"/>
      <c r="FK25" s="239"/>
      <c r="FL25" s="240"/>
      <c r="FM25" s="240"/>
      <c r="FN25" s="240"/>
      <c r="FO25" s="241"/>
      <c r="FP25" s="711" t="s">
        <v>53</v>
      </c>
      <c r="FQ25" s="712"/>
      <c r="FR25" s="712"/>
      <c r="FS25" s="713"/>
      <c r="FT25" s="236"/>
      <c r="FU25" s="237"/>
      <c r="FV25" s="237"/>
      <c r="FW25" s="237"/>
      <c r="FX25" s="238"/>
      <c r="FY25" s="677" t="s">
        <v>53</v>
      </c>
      <c r="FZ25" s="356"/>
      <c r="GA25" s="356"/>
      <c r="GB25" s="401"/>
      <c r="GC25" s="239"/>
      <c r="GD25" s="240"/>
      <c r="GE25" s="240"/>
      <c r="GF25" s="240"/>
      <c r="GG25" s="241"/>
      <c r="GK25" s="223" t="s">
        <v>53</v>
      </c>
      <c r="GL25" s="223">
        <f t="shared" si="8"/>
        <v>0</v>
      </c>
      <c r="GM25" s="223">
        <f>IF($GK25=Creation!$Q$28,1,0)</f>
        <v>0</v>
      </c>
      <c r="GN25" s="223">
        <f>IF($GK25=Creation!$Q$29,1,0)</f>
        <v>0</v>
      </c>
      <c r="GO25" s="223">
        <f>IF($GK25=Creation!$Q$30,1,0)</f>
        <v>0</v>
      </c>
      <c r="GP25" s="223">
        <f>IF($GK25=Creation!$Q$31,1,0)</f>
        <v>0</v>
      </c>
      <c r="GQ25" s="223">
        <f>IF($GK25=Creation!$Q$32,1,0)</f>
        <v>0</v>
      </c>
      <c r="GR25" s="223">
        <f>IF($GK25=Creation!$Q$33,1,0)</f>
        <v>0</v>
      </c>
    </row>
    <row r="26" spans="1:200" ht="15.75" thickBot="1" x14ac:dyDescent="0.3">
      <c r="A26" s="396"/>
      <c r="B26" s="395"/>
      <c r="C26" s="395"/>
      <c r="D26" s="395"/>
      <c r="E26" s="395"/>
      <c r="F26" s="150">
        <v>1</v>
      </c>
      <c r="G26" s="150">
        <v>1</v>
      </c>
      <c r="H26" s="150">
        <v>1</v>
      </c>
      <c r="I26" s="150">
        <v>1</v>
      </c>
      <c r="J26" s="150">
        <v>1</v>
      </c>
      <c r="K26" s="150">
        <f>IF(Creation!$O22+Creation!$O23&gt;J25,1,0)</f>
        <v>0</v>
      </c>
      <c r="L26" s="150">
        <f>IF(Creation!$O22+Creation!$O23&gt;K25,1,0)</f>
        <v>0</v>
      </c>
      <c r="M26" s="150">
        <f>IF(Creation!$O22+Creation!$O23&gt;L25,1,0)</f>
        <v>0</v>
      </c>
      <c r="N26" s="150">
        <f>IF(Creation!$O22+Creation!$O23&gt;M25,1,0)</f>
        <v>0</v>
      </c>
      <c r="O26" s="150">
        <f>IF(Creation!$O22+Creation!$O23&gt;N25,1,0)</f>
        <v>0</v>
      </c>
      <c r="P26" s="677" t="s">
        <v>52</v>
      </c>
      <c r="Q26" s="356"/>
      <c r="R26" s="356"/>
      <c r="S26" s="356"/>
      <c r="T26" s="146">
        <f>IF(Creation!AC21+Creation!AF21&gt;0,1,0)</f>
        <v>0</v>
      </c>
      <c r="U26" s="146">
        <f>IF(Creation!AC21+Creation!AF21&gt;1,1,0)</f>
        <v>0</v>
      </c>
      <c r="V26" s="146">
        <f>IF(Creation!AC21+Creation!AF21&gt;2,1,0)</f>
        <v>0</v>
      </c>
      <c r="W26" s="146">
        <f>IF(Creation!AC21+Creation!AF21&gt;3,1,0)</f>
        <v>0</v>
      </c>
      <c r="X26" s="147">
        <f>IF(Creation!AC21+Creation!AF21&gt;4,1,0)</f>
        <v>0</v>
      </c>
      <c r="Y26" s="396"/>
      <c r="Z26" s="395"/>
      <c r="AA26" s="395"/>
      <c r="AB26" s="395"/>
      <c r="AC26" s="475"/>
      <c r="AD26" s="220"/>
      <c r="AE26" s="133"/>
      <c r="AF26" s="133"/>
      <c r="AG26" s="133"/>
      <c r="AH26" s="133"/>
      <c r="AI26" s="243"/>
      <c r="AJ26" s="243"/>
      <c r="AK26" s="243"/>
      <c r="AL26" s="243"/>
      <c r="AM26" s="244"/>
      <c r="AN26" s="677" t="s">
        <v>52</v>
      </c>
      <c r="AO26" s="356"/>
      <c r="AP26" s="356"/>
      <c r="AQ26" s="401"/>
      <c r="AR26" s="239"/>
      <c r="AS26" s="240"/>
      <c r="AT26" s="240"/>
      <c r="AU26" s="240"/>
      <c r="AV26" s="241"/>
      <c r="AW26" s="394"/>
      <c r="AX26" s="395"/>
      <c r="AY26" s="395"/>
      <c r="AZ26" s="395"/>
      <c r="BA26" s="475"/>
      <c r="BB26" s="132"/>
      <c r="BC26" s="133"/>
      <c r="BD26" s="133"/>
      <c r="BE26" s="133"/>
      <c r="BF26" s="133"/>
      <c r="BG26" s="243"/>
      <c r="BH26" s="243"/>
      <c r="BI26" s="243"/>
      <c r="BJ26" s="243"/>
      <c r="BK26" s="244"/>
      <c r="BL26" s="677" t="s">
        <v>52</v>
      </c>
      <c r="BM26" s="356"/>
      <c r="BN26" s="356"/>
      <c r="BO26" s="401"/>
      <c r="BP26" s="250"/>
      <c r="BQ26" s="240"/>
      <c r="BR26" s="240"/>
      <c r="BS26" s="240"/>
      <c r="BT26" s="241"/>
      <c r="BU26" s="394"/>
      <c r="BV26" s="395"/>
      <c r="BW26" s="395"/>
      <c r="BX26" s="395"/>
      <c r="BY26" s="395"/>
      <c r="BZ26" s="150">
        <v>0</v>
      </c>
      <c r="CA26" s="150">
        <v>0</v>
      </c>
      <c r="CB26" s="150">
        <v>0</v>
      </c>
      <c r="CC26" s="150">
        <v>0</v>
      </c>
      <c r="CD26" s="150">
        <v>0</v>
      </c>
      <c r="CE26" s="150">
        <f>IF(SUM($BZ26:CD26)=SUM(DemigodConversion!$W$30),0,IF(AND(DemigodConversion!$W$29+DemigodConversion!$W$30&gt;CD25,BG26=0,AI26=0,K26=0),1,0))</f>
        <v>0</v>
      </c>
      <c r="CF26" s="150">
        <f>IF(SUM($BZ26:CE26)=SUM(DemigodConversion!$W$30),0,IF(AND(DemigodConversion!$W$29+DemigodConversion!$W$30&gt;CE25,BH26=0,AJ26=0,L26=0),1,0))</f>
        <v>0</v>
      </c>
      <c r="CG26" s="150">
        <f>IF(SUM($BZ26:CF26)=SUM(DemigodConversion!$W$30),0,IF(AND(DemigodConversion!$W$29+DemigodConversion!$W$30&gt;CF25,BI26=0,AK26=0,M26=0),1,0))</f>
        <v>0</v>
      </c>
      <c r="CH26" s="150">
        <f>IF(SUM($BZ26:CG26)=SUM(DemigodConversion!$W$30),0,IF(AND(DemigodConversion!$W$29+DemigodConversion!$W$30&gt;CG25,BJ26=0,AL26=0,N26=0),1,0))</f>
        <v>0</v>
      </c>
      <c r="CI26" s="151">
        <f>IF(SUM($BZ26:CH26)=SUM(DemigodConversion!$W$30),0,IF(AND(DemigodConversion!$W$29+DemigodConversion!$W$30&gt;CH25,BK26=0,AM26=0,O26=0),1,0))</f>
        <v>0</v>
      </c>
      <c r="CJ26" s="677" t="s">
        <v>52</v>
      </c>
      <c r="CK26" s="356"/>
      <c r="CL26" s="356"/>
      <c r="CM26" s="356"/>
      <c r="CN26" s="229">
        <f>IF(AND(T26=0,AR26=0,BP26=0,FB24=0,FK24=0,FT24=0,GC24=0,ES24=0,DemigodConversion!$AC21+DemigodConversion!$AF21&gt;0),1,0)</f>
        <v>0</v>
      </c>
      <c r="CO26" s="271">
        <f>IF(AND(U26=0,AS26=0,BQ26=0,FC24=0,FL24=0,FU24=0,GD24=0,ET24=0,DemigodConversion!$AC21+DemigodConversion!$AF21&gt;1),1,0)</f>
        <v>0</v>
      </c>
      <c r="CP26" s="271">
        <f>IF(AND(V26=0,AT26=0,BR26=0,FD24=0,FM24=0,FV24=0,GE24=0,EU24=0,DemigodConversion!$AC21+DemigodConversion!$AF21&gt;2),1,0)</f>
        <v>0</v>
      </c>
      <c r="CQ26" s="271">
        <f>IF(AND(W26=0,AU26=0,BS26=0,FE24=0,FN24=0,FW24=0,GF24=0,EV24=0,DemigodConversion!$AC21+DemigodConversion!$AF21&gt;3),1,0)</f>
        <v>0</v>
      </c>
      <c r="CR26" s="271">
        <f>IF(AND(X26=0,AV26=0,BT26=0,FF24=0,FO24=0,FX24=0,GG24=0,EW24=0,DemigodConversion!$AC21+DemigodConversion!$AF21&gt;4),1,0)</f>
        <v>0</v>
      </c>
      <c r="CS26" s="394"/>
      <c r="CT26" s="395"/>
      <c r="CU26" s="395"/>
      <c r="CV26" s="395"/>
      <c r="CW26" s="395"/>
      <c r="CX26" s="150">
        <v>0</v>
      </c>
      <c r="CY26" s="150">
        <v>0</v>
      </c>
      <c r="CZ26" s="150">
        <v>0</v>
      </c>
      <c r="DA26" s="150">
        <v>0</v>
      </c>
      <c r="DB26" s="150">
        <v>0</v>
      </c>
      <c r="DC26" s="150">
        <f>IF(AND(K26=0,AI26=0,BG26=0,CE26=0,DB25&lt;GodConversion!$W29+GodConversion!$W30),1,0)</f>
        <v>0</v>
      </c>
      <c r="DD26" s="150">
        <f>IF(AND(L26=0,AJ26=0,BH26=0,CF26=0,DC25&lt;GodConversion!$W29+GodConversion!$W30),1,0)</f>
        <v>0</v>
      </c>
      <c r="DE26" s="150">
        <f>IF(AND(M26=0,AK26=0,BI26=0,CG26=0,DD25&lt;GodConversion!$W29+GodConversion!$W30),1,0)</f>
        <v>0</v>
      </c>
      <c r="DF26" s="150">
        <f>IF(AND(N26=0,AL26=0,BJ26=0,CH26=0,DE25&lt;GodConversion!$W29+GodConversion!$W30),1,0)</f>
        <v>0</v>
      </c>
      <c r="DG26" s="160">
        <f>IF(AND(O26=0,AM26=0,BK26=0,CI26=0,DF25&lt;GodConversion!$W29+GodConversion!$W30),1,0)</f>
        <v>0</v>
      </c>
      <c r="DH26" s="677" t="s">
        <v>52</v>
      </c>
      <c r="DI26" s="356"/>
      <c r="DJ26" s="356"/>
      <c r="DK26" s="356"/>
      <c r="DL26" s="229">
        <f>IF(AND(T26=0,AR26=0,BP26=0,ES24=0,FB24=0,FK24=0,FT24=0,GC24=0,CN26=0,0&lt;GodConversion!$AC21+GodConversion!$AF21),1,0)</f>
        <v>0</v>
      </c>
      <c r="DM26" s="271">
        <f>IF(AND(U26=0,AS26=0,BQ26=0,ET24=0,FC24=0,FL24=0,FU24=0,GD24=0,CO26=0,1&lt;GodConversion!$AC21+GodConversion!$AF21),1,0)</f>
        <v>0</v>
      </c>
      <c r="DN26" s="271">
        <f>IF(AND(V26=0,AT26=0,BR26=0,EU24=0,FD24=0,FM24=0,FV24=0,GE24=0,CP26=0,2&lt;GodConversion!$AC21+GodConversion!$AF21),1,0)</f>
        <v>0</v>
      </c>
      <c r="DO26" s="271">
        <f>IF(AND(W26=0,AU26=0,BS26=0,EV24=0,FE24=0,FN24=0,FW24=0,GF24=0,CQ26=0,3&lt;GodConversion!$AC21+GodConversion!$AF21),1,0)</f>
        <v>0</v>
      </c>
      <c r="DP26" s="271">
        <f>IF(AND(X26=0,AV26=0,BT26=0,EW24=0,FF24=0,FO24=0,FX24=0,GG24=0,CR26=0,4&lt;GodConversion!$AC21+GodConversion!$AF21),1,0)</f>
        <v>0</v>
      </c>
      <c r="DQ26" s="396"/>
      <c r="DR26" s="395"/>
      <c r="DS26" s="395"/>
      <c r="DT26" s="395"/>
      <c r="DU26" s="395"/>
      <c r="DV26" s="150">
        <v>0</v>
      </c>
      <c r="DW26" s="150">
        <v>0</v>
      </c>
      <c r="DX26" s="150">
        <v>0</v>
      </c>
      <c r="DY26" s="150">
        <v>0</v>
      </c>
      <c r="DZ26" s="150">
        <v>0</v>
      </c>
      <c r="EA26" s="150">
        <f>IF(AI26=1,DZ$25*2,0)</f>
        <v>0</v>
      </c>
      <c r="EB26" s="150">
        <f t="shared" ref="EB26:EE26" si="20">IF(AJ26=1,EA$25*2,0)</f>
        <v>0</v>
      </c>
      <c r="EC26" s="150">
        <f t="shared" si="20"/>
        <v>0</v>
      </c>
      <c r="ED26" s="150">
        <f t="shared" si="20"/>
        <v>0</v>
      </c>
      <c r="EE26" s="160">
        <f t="shared" si="20"/>
        <v>0</v>
      </c>
      <c r="EF26" s="677" t="s">
        <v>52</v>
      </c>
      <c r="EG26" s="356"/>
      <c r="EH26" s="356"/>
      <c r="EI26" s="356"/>
      <c r="EJ26" s="210">
        <f t="shared" si="11"/>
        <v>0</v>
      </c>
      <c r="EK26" s="210">
        <f t="shared" si="12"/>
        <v>0</v>
      </c>
      <c r="EL26" s="210">
        <f t="shared" si="13"/>
        <v>0</v>
      </c>
      <c r="EM26" s="210">
        <f t="shared" si="14"/>
        <v>0</v>
      </c>
      <c r="EN26" s="210">
        <f t="shared" si="15"/>
        <v>0</v>
      </c>
      <c r="EO26" s="702" t="s">
        <v>54</v>
      </c>
      <c r="EP26" s="703"/>
      <c r="EQ26" s="703"/>
      <c r="ER26" s="704"/>
      <c r="ES26" s="248"/>
      <c r="ET26" s="249"/>
      <c r="EU26" s="240"/>
      <c r="EV26" s="240"/>
      <c r="EW26" s="240"/>
      <c r="EX26" s="711" t="s">
        <v>54</v>
      </c>
      <c r="EY26" s="712"/>
      <c r="EZ26" s="712"/>
      <c r="FA26" s="714"/>
      <c r="FB26" s="236"/>
      <c r="FC26" s="237"/>
      <c r="FD26" s="237"/>
      <c r="FE26" s="237"/>
      <c r="FF26" s="238"/>
      <c r="FG26" s="690" t="s">
        <v>54</v>
      </c>
      <c r="FH26" s="356"/>
      <c r="FI26" s="356"/>
      <c r="FJ26" s="401"/>
      <c r="FK26" s="239"/>
      <c r="FL26" s="240"/>
      <c r="FM26" s="240"/>
      <c r="FN26" s="240"/>
      <c r="FO26" s="241"/>
      <c r="FP26" s="711" t="s">
        <v>54</v>
      </c>
      <c r="FQ26" s="712"/>
      <c r="FR26" s="712"/>
      <c r="FS26" s="713"/>
      <c r="FT26" s="236"/>
      <c r="FU26" s="237"/>
      <c r="FV26" s="237"/>
      <c r="FW26" s="237"/>
      <c r="FX26" s="238"/>
      <c r="FY26" s="677" t="s">
        <v>54</v>
      </c>
      <c r="FZ26" s="356"/>
      <c r="GA26" s="356"/>
      <c r="GB26" s="401"/>
      <c r="GC26" s="239"/>
      <c r="GD26" s="240"/>
      <c r="GE26" s="240"/>
      <c r="GF26" s="240"/>
      <c r="GG26" s="241"/>
      <c r="GK26" s="223" t="s">
        <v>54</v>
      </c>
      <c r="GL26" s="223">
        <f t="shared" si="8"/>
        <v>0</v>
      </c>
      <c r="GM26" s="223">
        <f>IF($GK26=Creation!$Q$28,1,0)</f>
        <v>0</v>
      </c>
      <c r="GN26" s="223">
        <f>IF($GK26=Creation!$Q$29,1,0)</f>
        <v>0</v>
      </c>
      <c r="GO26" s="223">
        <f>IF($GK26=Creation!$Q$30,1,0)</f>
        <v>0</v>
      </c>
      <c r="GP26" s="223">
        <f>IF($GK26=Creation!$Q$31,1,0)</f>
        <v>0</v>
      </c>
      <c r="GQ26" s="223">
        <f>IF($GK26=Creation!$Q$32,1,0)</f>
        <v>0</v>
      </c>
      <c r="GR26" s="223">
        <f>IF($GK26=Creation!$Q$33,1,0)</f>
        <v>0</v>
      </c>
    </row>
    <row r="27" spans="1:200" ht="15.75" customHeight="1" x14ac:dyDescent="0.25">
      <c r="A27" s="657"/>
      <c r="B27" s="657"/>
      <c r="C27" s="657"/>
      <c r="D27" s="657"/>
      <c r="E27" s="657"/>
      <c r="F27" s="657"/>
      <c r="G27" s="657"/>
      <c r="H27" s="657"/>
      <c r="I27" s="657"/>
      <c r="J27" s="657"/>
      <c r="K27" s="657"/>
      <c r="L27" s="657"/>
      <c r="M27" s="657"/>
      <c r="N27" s="657"/>
      <c r="O27" s="657"/>
      <c r="P27" s="677" t="s">
        <v>53</v>
      </c>
      <c r="Q27" s="356"/>
      <c r="R27" s="356"/>
      <c r="S27" s="356"/>
      <c r="T27" s="146">
        <f>IF(Creation!AC22+Creation!AF22&gt;0,1,0)</f>
        <v>0</v>
      </c>
      <c r="U27" s="146">
        <f>IF(Creation!AC22+Creation!AF22&gt;1,1,0)</f>
        <v>0</v>
      </c>
      <c r="V27" s="146">
        <f>IF(Creation!AC22+Creation!AF22&gt;2,1,0)</f>
        <v>0</v>
      </c>
      <c r="W27" s="146">
        <f>IF(Creation!AC22+Creation!AF22&gt;3,1,0)</f>
        <v>0</v>
      </c>
      <c r="X27" s="147">
        <f>IF(Creation!AC22+Creation!AF22&gt;4,1,0)</f>
        <v>0</v>
      </c>
      <c r="Y27" s="705" t="s">
        <v>1802</v>
      </c>
      <c r="Z27" s="689"/>
      <c r="AA27" s="689"/>
      <c r="AB27" s="689"/>
      <c r="AC27" s="706"/>
      <c r="AD27" s="707"/>
      <c r="AE27" s="708"/>
      <c r="AF27" s="324"/>
      <c r="AG27" s="324"/>
      <c r="AH27" s="324"/>
      <c r="AI27" s="324"/>
      <c r="AJ27" s="324"/>
      <c r="AK27" s="324"/>
      <c r="AL27" s="324"/>
      <c r="AM27" s="324"/>
      <c r="AN27" s="677" t="s">
        <v>53</v>
      </c>
      <c r="AO27" s="356"/>
      <c r="AP27" s="356"/>
      <c r="AQ27" s="401"/>
      <c r="AR27" s="239"/>
      <c r="AS27" s="240"/>
      <c r="AT27" s="240"/>
      <c r="AU27" s="240"/>
      <c r="AV27" s="241"/>
      <c r="AW27" s="695" t="s">
        <v>957</v>
      </c>
      <c r="AX27" s="695"/>
      <c r="AY27" s="695"/>
      <c r="AZ27" s="695"/>
      <c r="BA27" s="695"/>
      <c r="BB27" s="695"/>
      <c r="BC27" s="695"/>
      <c r="BD27" s="695"/>
      <c r="BE27" s="695"/>
      <c r="BF27" s="695"/>
      <c r="BG27" s="695"/>
      <c r="BH27" s="695"/>
      <c r="BI27" s="695"/>
      <c r="BJ27" s="695"/>
      <c r="BK27" s="695"/>
      <c r="BL27" s="677" t="s">
        <v>53</v>
      </c>
      <c r="BM27" s="356"/>
      <c r="BN27" s="356"/>
      <c r="BO27" s="401"/>
      <c r="BP27" s="250"/>
      <c r="BQ27" s="240"/>
      <c r="BR27" s="240"/>
      <c r="BS27" s="240"/>
      <c r="BT27" s="241"/>
      <c r="BU27" s="297"/>
      <c r="BV27" s="297"/>
      <c r="BW27" s="297"/>
      <c r="BX27" s="297"/>
      <c r="BY27" s="297"/>
      <c r="BZ27" s="297"/>
      <c r="CA27" s="297"/>
      <c r="CB27" s="297"/>
      <c r="CC27" s="297"/>
      <c r="CD27" s="297"/>
      <c r="CE27" s="297"/>
      <c r="CF27" s="297"/>
      <c r="CG27" s="297"/>
      <c r="CH27" s="297"/>
      <c r="CI27" s="297"/>
      <c r="CJ27" s="677" t="s">
        <v>53</v>
      </c>
      <c r="CK27" s="356"/>
      <c r="CL27" s="356"/>
      <c r="CM27" s="356"/>
      <c r="CN27" s="229">
        <f>IF(AND(T27=0,AR27=0,BP27=0,FB25=0,FK25=0,FT25=0,GC25=0,ES25=0,DemigodConversion!$AC22+DemigodConversion!$AF22&gt;0),1,0)</f>
        <v>0</v>
      </c>
      <c r="CO27" s="271">
        <f>IF(AND(U27=0,AS27=0,BQ27=0,FC25=0,FL25=0,FU25=0,GD25=0,ET25=0,DemigodConversion!$AC22+DemigodConversion!$AF22&gt;1),1,0)</f>
        <v>0</v>
      </c>
      <c r="CP27" s="271">
        <f>IF(AND(V27=0,AT27=0,BR27=0,FD25=0,FM25=0,FV25=0,GE25=0,EU25=0,DemigodConversion!$AC22+DemigodConversion!$AF22&gt;2),1,0)</f>
        <v>0</v>
      </c>
      <c r="CQ27" s="271">
        <f>IF(AND(W27=0,AU27=0,BS27=0,FE25=0,FN25=0,FW25=0,GF25=0,EV25=0,DemigodConversion!$AC22+DemigodConversion!$AF22&gt;3),1,0)</f>
        <v>0</v>
      </c>
      <c r="CR27" s="271">
        <f>IF(AND(X27=0,AV27=0,BT27=0,FF25=0,FO25=0,FX25=0,GG25=0,EW25=0,DemigodConversion!$AC22+DemigodConversion!$AF22&gt;4),1,0)</f>
        <v>0</v>
      </c>
      <c r="CS27" s="657"/>
      <c r="CT27" s="657"/>
      <c r="CU27" s="657"/>
      <c r="CV27" s="657"/>
      <c r="CW27" s="657"/>
      <c r="CX27" s="657"/>
      <c r="CY27" s="657"/>
      <c r="CZ27" s="657"/>
      <c r="DA27" s="657"/>
      <c r="DB27" s="657"/>
      <c r="DC27" s="657"/>
      <c r="DD27" s="657"/>
      <c r="DE27" s="657"/>
      <c r="DF27" s="657"/>
      <c r="DG27" s="657"/>
      <c r="DH27" s="677" t="s">
        <v>53</v>
      </c>
      <c r="DI27" s="356"/>
      <c r="DJ27" s="356"/>
      <c r="DK27" s="356"/>
      <c r="DL27" s="229">
        <f>IF(AND(T27=0,AR27=0,BP27=0,ES25=0,FB25=0,FK25=0,FT25=0,GC25=0,CN27=0,0&lt;GodConversion!$AC22+GodConversion!$AF22),1,0)</f>
        <v>0</v>
      </c>
      <c r="DM27" s="271">
        <f>IF(AND(U27=0,AS27=0,BQ27=0,ET25=0,FC25=0,FL25=0,FU25=0,GD25=0,CO27=0,1&lt;GodConversion!$AC22+GodConversion!$AF22),1,0)</f>
        <v>0</v>
      </c>
      <c r="DN27" s="271">
        <f>IF(AND(V27=0,AT27=0,BR27=0,EU25=0,FD25=0,FM25=0,FV25=0,GE25=0,CP27=0,2&lt;GodConversion!$AC22+GodConversion!$AF22),1,0)</f>
        <v>0</v>
      </c>
      <c r="DO27" s="271">
        <f>IF(AND(W27=0,AU27=0,BS27=0,EV25=0,FE25=0,FN25=0,FW25=0,GF25=0,CQ27=0,3&lt;GodConversion!$AC22+GodConversion!$AF22),1,0)</f>
        <v>0</v>
      </c>
      <c r="DP27" s="271">
        <f>IF(AND(X27=0,AV27=0,BT27=0,EW25=0,FF25=0,FO25=0,FX25=0,GG25=0,CR27=0,4&lt;GodConversion!$AC22+GodConversion!$AF22),1,0)</f>
        <v>0</v>
      </c>
      <c r="DQ27" s="392" t="s">
        <v>453</v>
      </c>
      <c r="DR27" s="391"/>
      <c r="DS27" s="391"/>
      <c r="DT27" s="391"/>
      <c r="DU27" s="391"/>
      <c r="DV27" s="462" t="s">
        <v>81</v>
      </c>
      <c r="DW27" s="462"/>
      <c r="DX27" s="462"/>
      <c r="DY27" s="462" t="s">
        <v>33</v>
      </c>
      <c r="DZ27" s="517"/>
      <c r="EA27" s="324"/>
      <c r="EB27" s="324"/>
      <c r="EC27" s="324"/>
      <c r="ED27" s="324"/>
      <c r="EE27" s="324"/>
      <c r="EF27" s="677" t="s">
        <v>53</v>
      </c>
      <c r="EG27" s="356"/>
      <c r="EH27" s="356"/>
      <c r="EI27" s="356"/>
      <c r="EJ27" s="210">
        <f t="shared" si="11"/>
        <v>0</v>
      </c>
      <c r="EK27" s="210">
        <f t="shared" si="12"/>
        <v>0</v>
      </c>
      <c r="EL27" s="210">
        <f t="shared" si="13"/>
        <v>0</v>
      </c>
      <c r="EM27" s="210">
        <f t="shared" si="14"/>
        <v>0</v>
      </c>
      <c r="EN27" s="210">
        <f t="shared" si="15"/>
        <v>0</v>
      </c>
      <c r="EO27" s="494" t="str">
        <f>CharacterSheet!$Q$12</f>
        <v>Special</v>
      </c>
      <c r="EP27" s="403"/>
      <c r="EQ27" s="403"/>
      <c r="ER27" s="615"/>
      <c r="ES27" s="239"/>
      <c r="ET27" s="240"/>
      <c r="EU27" s="240"/>
      <c r="EV27" s="240"/>
      <c r="EW27" s="240"/>
      <c r="EX27" s="494" t="str">
        <f>CharacterSheet!$Q$12</f>
        <v>Special</v>
      </c>
      <c r="EY27" s="403"/>
      <c r="EZ27" s="403"/>
      <c r="FA27" s="447"/>
      <c r="FB27" s="239"/>
      <c r="FC27" s="240"/>
      <c r="FD27" s="240"/>
      <c r="FE27" s="240"/>
      <c r="FF27" s="241"/>
      <c r="FG27" s="493" t="str">
        <f>CharacterSheet!$Q$12</f>
        <v>Special</v>
      </c>
      <c r="FH27" s="403"/>
      <c r="FI27" s="403"/>
      <c r="FJ27" s="615"/>
      <c r="FK27" s="239"/>
      <c r="FL27" s="240"/>
      <c r="FM27" s="240"/>
      <c r="FN27" s="240"/>
      <c r="FO27" s="241"/>
      <c r="FP27" s="494" t="str">
        <f>CharacterSheet!$Q$12</f>
        <v>Special</v>
      </c>
      <c r="FQ27" s="403"/>
      <c r="FR27" s="403"/>
      <c r="FS27" s="615"/>
      <c r="FT27" s="239"/>
      <c r="FU27" s="240"/>
      <c r="FV27" s="240"/>
      <c r="FW27" s="240"/>
      <c r="FX27" s="241"/>
      <c r="FY27" s="494" t="str">
        <f>CharacterSheet!$Q$12</f>
        <v>Special</v>
      </c>
      <c r="FZ27" s="403"/>
      <c r="GA27" s="403"/>
      <c r="GB27" s="615"/>
      <c r="GC27" s="239"/>
      <c r="GD27" s="240"/>
      <c r="GE27" s="240"/>
      <c r="GF27" s="240"/>
      <c r="GG27" s="241"/>
      <c r="GK27" s="222" t="s">
        <v>55</v>
      </c>
      <c r="GL27" s="223">
        <f t="shared" si="8"/>
        <v>0</v>
      </c>
      <c r="GM27" s="223">
        <f>IF($GK27=Creation!$Q$28,1,0)</f>
        <v>0</v>
      </c>
      <c r="GN27" s="223">
        <f>IF($GK27=Creation!$Q$29,1,0)</f>
        <v>0</v>
      </c>
      <c r="GO27" s="223">
        <f>IF($GK27=Creation!$Q$30,1,0)</f>
        <v>0</v>
      </c>
      <c r="GP27" s="223">
        <f>IF($GK27=Creation!$Q$31,1,0)</f>
        <v>0</v>
      </c>
      <c r="GQ27" s="223">
        <f>IF($GK27=Creation!$Q$32,1,0)</f>
        <v>0</v>
      </c>
      <c r="GR27" s="223">
        <f>IF($GK27=Creation!$Q$33,1,0)</f>
        <v>0</v>
      </c>
    </row>
    <row r="28" spans="1:200" ht="15.75" customHeight="1" thickBot="1" x14ac:dyDescent="0.3">
      <c r="A28" s="657"/>
      <c r="B28" s="657"/>
      <c r="C28" s="657"/>
      <c r="D28" s="657"/>
      <c r="E28" s="657"/>
      <c r="F28" s="657"/>
      <c r="G28" s="657"/>
      <c r="H28" s="657"/>
      <c r="I28" s="657"/>
      <c r="J28" s="657"/>
      <c r="K28" s="657"/>
      <c r="L28" s="657"/>
      <c r="M28" s="657"/>
      <c r="N28" s="657"/>
      <c r="O28" s="657"/>
      <c r="P28" s="677" t="s">
        <v>54</v>
      </c>
      <c r="Q28" s="356"/>
      <c r="R28" s="356"/>
      <c r="S28" s="356"/>
      <c r="T28" s="146">
        <f>IF(Creation!AC23+Creation!AF23&gt;0,1,0)</f>
        <v>0</v>
      </c>
      <c r="U28" s="146">
        <f>IF(Creation!AC23+Creation!AF23&gt;1,1,0)</f>
        <v>0</v>
      </c>
      <c r="V28" s="146">
        <f>IF(Creation!AC23+Creation!AF23&gt;2,1,0)</f>
        <v>0</v>
      </c>
      <c r="W28" s="146">
        <f>IF(Creation!AC23+Creation!AF23&gt;3,1,0)</f>
        <v>0</v>
      </c>
      <c r="X28" s="147">
        <f>IF(Creation!AC23+Creation!AF23&gt;4,1,0)</f>
        <v>0</v>
      </c>
      <c r="Y28" s="396"/>
      <c r="Z28" s="395"/>
      <c r="AA28" s="395"/>
      <c r="AB28" s="395"/>
      <c r="AC28" s="475"/>
      <c r="AD28" s="709"/>
      <c r="AE28" s="710"/>
      <c r="AF28" s="676"/>
      <c r="AG28" s="676"/>
      <c r="AH28" s="676"/>
      <c r="AI28" s="676"/>
      <c r="AJ28" s="676"/>
      <c r="AK28" s="676"/>
      <c r="AL28" s="676"/>
      <c r="AM28" s="324"/>
      <c r="AN28" s="677" t="s">
        <v>54</v>
      </c>
      <c r="AO28" s="356"/>
      <c r="AP28" s="356"/>
      <c r="AQ28" s="401"/>
      <c r="AR28" s="239"/>
      <c r="AS28" s="240"/>
      <c r="AT28" s="240"/>
      <c r="AU28" s="240"/>
      <c r="AV28" s="241"/>
      <c r="AW28" s="695"/>
      <c r="AX28" s="695"/>
      <c r="AY28" s="695"/>
      <c r="AZ28" s="695"/>
      <c r="BA28" s="695"/>
      <c r="BB28" s="695"/>
      <c r="BC28" s="695"/>
      <c r="BD28" s="695"/>
      <c r="BE28" s="695"/>
      <c r="BF28" s="695"/>
      <c r="BG28" s="695"/>
      <c r="BH28" s="695"/>
      <c r="BI28" s="695"/>
      <c r="BJ28" s="695"/>
      <c r="BK28" s="695"/>
      <c r="BL28" s="677" t="s">
        <v>54</v>
      </c>
      <c r="BM28" s="356"/>
      <c r="BN28" s="356"/>
      <c r="BO28" s="401"/>
      <c r="BP28" s="250"/>
      <c r="BQ28" s="240"/>
      <c r="BR28" s="240"/>
      <c r="BS28" s="240"/>
      <c r="BT28" s="241"/>
      <c r="BU28" s="297"/>
      <c r="BV28" s="297"/>
      <c r="BW28" s="297"/>
      <c r="BX28" s="297"/>
      <c r="BY28" s="297"/>
      <c r="BZ28" s="297"/>
      <c r="CA28" s="297"/>
      <c r="CB28" s="297"/>
      <c r="CC28" s="297"/>
      <c r="CD28" s="297"/>
      <c r="CE28" s="297"/>
      <c r="CF28" s="297"/>
      <c r="CG28" s="297"/>
      <c r="CH28" s="297"/>
      <c r="CI28" s="297"/>
      <c r="CJ28" s="677" t="s">
        <v>54</v>
      </c>
      <c r="CK28" s="356"/>
      <c r="CL28" s="356"/>
      <c r="CM28" s="356"/>
      <c r="CN28" s="229">
        <f>IF(AND(T28=0,AR28=0,BP28=0,FB26=0,FK26=0,FT26=0,GC26=0,ES26=0,DemigodConversion!$AC23+DemigodConversion!$AF23&gt;0),1,0)</f>
        <v>0</v>
      </c>
      <c r="CO28" s="271">
        <f>IF(AND(U28=0,AS28=0,BQ28=0,FC26=0,FL26=0,FU26=0,GD26=0,ET26=0,DemigodConversion!$AC23+DemigodConversion!$AF23&gt;1),1,0)</f>
        <v>0</v>
      </c>
      <c r="CP28" s="271">
        <f>IF(AND(V28=0,AT28=0,BR28=0,FD26=0,FM26=0,FV26=0,GE26=0,EU26=0,DemigodConversion!$AC23+DemigodConversion!$AF23&gt;2),1,0)</f>
        <v>0</v>
      </c>
      <c r="CQ28" s="271">
        <f>IF(AND(W28=0,AU28=0,BS28=0,FE26=0,FN26=0,FW26=0,GF26=0,EV26=0,DemigodConversion!$AC23+DemigodConversion!$AF23&gt;3),1,0)</f>
        <v>0</v>
      </c>
      <c r="CR28" s="271">
        <f>IF(AND(X28=0,AV28=0,BT28=0,FF26=0,FO26=0,FX26=0,GG26=0,EW26=0,DemigodConversion!$AC23+DemigodConversion!$AF23&gt;4),1,0)</f>
        <v>0</v>
      </c>
      <c r="CS28" s="657"/>
      <c r="CT28" s="657"/>
      <c r="CU28" s="657"/>
      <c r="CV28" s="657"/>
      <c r="CW28" s="657"/>
      <c r="CX28" s="657"/>
      <c r="CY28" s="657"/>
      <c r="CZ28" s="657"/>
      <c r="DA28" s="657"/>
      <c r="DB28" s="657"/>
      <c r="DC28" s="657"/>
      <c r="DD28" s="657"/>
      <c r="DE28" s="657"/>
      <c r="DF28" s="657"/>
      <c r="DG28" s="657"/>
      <c r="DH28" s="677" t="s">
        <v>54</v>
      </c>
      <c r="DI28" s="356"/>
      <c r="DJ28" s="356"/>
      <c r="DK28" s="356"/>
      <c r="DL28" s="229">
        <f>IF(AND(T28=0,AR28=0,BP28=0,ES26=0,FB26=0,FK26=0,FT26=0,GC26=0,CN28=0,0&lt;GodConversion!$AC23+GodConversion!$AF23),1,0)</f>
        <v>0</v>
      </c>
      <c r="DM28" s="271">
        <f>IF(AND(U28=0,AS28=0,BQ28=0,ET26=0,FC26=0,FL26=0,FU26=0,GD26=0,CO28=0,1&lt;GodConversion!$AC23+GodConversion!$AF23),1,0)</f>
        <v>0</v>
      </c>
      <c r="DN28" s="271">
        <f>IF(AND(V28=0,AT28=0,BR28=0,EU26=0,FD26=0,FM26=0,FV26=0,GE26=0,CP28=0,2&lt;GodConversion!$AC23+GodConversion!$AF23),1,0)</f>
        <v>0</v>
      </c>
      <c r="DO28" s="271">
        <f>IF(AND(W28=0,AU28=0,BS28=0,EV26=0,FE26=0,FN26=0,FW26=0,GF26=0,CQ28=0,3&lt;GodConversion!$AC23+GodConversion!$AF23),1,0)</f>
        <v>0</v>
      </c>
      <c r="DP28" s="271">
        <f>IF(AND(X28=0,AV28=0,BT28=0,EW26=0,FF26=0,FO26=0,FX26=0,GG26=0,CR28=0,4&lt;GodConversion!$AC23+GodConversion!$AF23),1,0)</f>
        <v>0</v>
      </c>
      <c r="DQ28" s="396"/>
      <c r="DR28" s="395"/>
      <c r="DS28" s="395"/>
      <c r="DT28" s="395"/>
      <c r="DU28" s="395"/>
      <c r="DV28" s="414"/>
      <c r="DW28" s="414"/>
      <c r="DX28" s="414"/>
      <c r="DY28" s="414">
        <f>DV28*5</f>
        <v>0</v>
      </c>
      <c r="DZ28" s="518"/>
      <c r="EA28" s="324"/>
      <c r="EB28" s="324"/>
      <c r="EC28" s="324"/>
      <c r="ED28" s="324"/>
      <c r="EE28" s="324"/>
      <c r="EF28" s="677" t="s">
        <v>54</v>
      </c>
      <c r="EG28" s="356"/>
      <c r="EH28" s="356"/>
      <c r="EI28" s="356"/>
      <c r="EJ28" s="210">
        <f t="shared" si="11"/>
        <v>0</v>
      </c>
      <c r="EK28" s="210">
        <f t="shared" si="12"/>
        <v>0</v>
      </c>
      <c r="EL28" s="210">
        <f t="shared" si="13"/>
        <v>0</v>
      </c>
      <c r="EM28" s="210">
        <f t="shared" si="14"/>
        <v>0</v>
      </c>
      <c r="EN28" s="210">
        <f t="shared" si="15"/>
        <v>0</v>
      </c>
      <c r="EO28" s="494" t="str">
        <f>CharacterSheet!$Q$13</f>
        <v>Special</v>
      </c>
      <c r="EP28" s="403"/>
      <c r="EQ28" s="403"/>
      <c r="ER28" s="615"/>
      <c r="ES28" s="239"/>
      <c r="ET28" s="240"/>
      <c r="EU28" s="240"/>
      <c r="EV28" s="240"/>
      <c r="EW28" s="240"/>
      <c r="EX28" s="494" t="str">
        <f>CharacterSheet!$Q$13</f>
        <v>Special</v>
      </c>
      <c r="EY28" s="403"/>
      <c r="EZ28" s="403"/>
      <c r="FA28" s="447"/>
      <c r="FB28" s="239"/>
      <c r="FC28" s="240"/>
      <c r="FD28" s="240"/>
      <c r="FE28" s="240"/>
      <c r="FF28" s="241"/>
      <c r="FG28" s="493" t="str">
        <f>CharacterSheet!$Q$13</f>
        <v>Special</v>
      </c>
      <c r="FH28" s="403"/>
      <c r="FI28" s="403"/>
      <c r="FJ28" s="615"/>
      <c r="FK28" s="239"/>
      <c r="FL28" s="240"/>
      <c r="FM28" s="240"/>
      <c r="FN28" s="240"/>
      <c r="FO28" s="241"/>
      <c r="FP28" s="494" t="str">
        <f>CharacterSheet!$Q$13</f>
        <v>Special</v>
      </c>
      <c r="FQ28" s="403"/>
      <c r="FR28" s="403"/>
      <c r="FS28" s="615"/>
      <c r="FT28" s="239"/>
      <c r="FU28" s="240"/>
      <c r="FV28" s="240"/>
      <c r="FW28" s="240"/>
      <c r="FX28" s="241"/>
      <c r="FY28" s="494" t="str">
        <f>CharacterSheet!$Q$13</f>
        <v>Special</v>
      </c>
      <c r="FZ28" s="403"/>
      <c r="GA28" s="403"/>
      <c r="GB28" s="615"/>
      <c r="GC28" s="239"/>
      <c r="GD28" s="240"/>
      <c r="GE28" s="240"/>
      <c r="GF28" s="240"/>
      <c r="GG28" s="241"/>
      <c r="GK28" s="222" t="s">
        <v>56</v>
      </c>
      <c r="GL28" s="223">
        <f t="shared" si="8"/>
        <v>0</v>
      </c>
      <c r="GM28" s="223">
        <f>IF($GK28=Creation!$Q$28,1,0)</f>
        <v>0</v>
      </c>
      <c r="GN28" s="223">
        <f>IF($GK28=Creation!$Q$29,1,0)</f>
        <v>0</v>
      </c>
      <c r="GO28" s="223">
        <f>IF($GK28=Creation!$Q$30,1,0)</f>
        <v>0</v>
      </c>
      <c r="GP28" s="223">
        <f>IF($GK28=Creation!$Q$31,1,0)</f>
        <v>0</v>
      </c>
      <c r="GQ28" s="223">
        <f>IF($GK28=Creation!$Q$32,1,0)</f>
        <v>0</v>
      </c>
      <c r="GR28" s="223">
        <f>IF($GK28=Creation!$Q$33,1,0)</f>
        <v>0</v>
      </c>
    </row>
    <row r="29" spans="1:200" x14ac:dyDescent="0.25">
      <c r="A29" s="657"/>
      <c r="B29" s="657"/>
      <c r="C29" s="657"/>
      <c r="D29" s="657"/>
      <c r="E29" s="657"/>
      <c r="F29" s="657"/>
      <c r="G29" s="657"/>
      <c r="H29" s="657"/>
      <c r="I29" s="657"/>
      <c r="J29" s="657"/>
      <c r="K29" s="657"/>
      <c r="L29" s="657"/>
      <c r="M29" s="657"/>
      <c r="N29" s="657"/>
      <c r="O29" s="657"/>
      <c r="P29" s="494" t="str">
        <f>CharacterSheet!$Q$12</f>
        <v>Special</v>
      </c>
      <c r="Q29" s="403"/>
      <c r="R29" s="403"/>
      <c r="S29" s="403"/>
      <c r="T29" s="146">
        <f>IF(Creation!AC24+Creation!AF24&gt;0,1,0)</f>
        <v>0</v>
      </c>
      <c r="U29" s="146">
        <f>IF(Creation!AC24+Creation!AF24&gt;1,1,0)</f>
        <v>0</v>
      </c>
      <c r="V29" s="146">
        <f>IF(Creation!AC24+Creation!AF24&gt;2,1,0)</f>
        <v>0</v>
      </c>
      <c r="W29" s="146">
        <f>IF(Creation!AC24+Creation!AF24&gt;3,1,0)</f>
        <v>0</v>
      </c>
      <c r="X29" s="147">
        <f>IF(Creation!AC24+Creation!AF24&gt;4,1,0)</f>
        <v>0</v>
      </c>
      <c r="Y29" s="641"/>
      <c r="Z29" s="641"/>
      <c r="AA29" s="641"/>
      <c r="AB29" s="641"/>
      <c r="AC29" s="641"/>
      <c r="AD29" s="641"/>
      <c r="AE29" s="641"/>
      <c r="AF29" s="676"/>
      <c r="AG29" s="676"/>
      <c r="AH29" s="676"/>
      <c r="AI29" s="676"/>
      <c r="AJ29" s="676"/>
      <c r="AK29" s="676"/>
      <c r="AL29" s="676"/>
      <c r="AM29" s="324"/>
      <c r="AN29" s="494" t="str">
        <f>CharacterSheet!$Q$12</f>
        <v>Special</v>
      </c>
      <c r="AO29" s="403"/>
      <c r="AP29" s="403"/>
      <c r="AQ29" s="615"/>
      <c r="AR29" s="239"/>
      <c r="AS29" s="240"/>
      <c r="AT29" s="240"/>
      <c r="AU29" s="240"/>
      <c r="AV29" s="241"/>
      <c r="AW29" s="695"/>
      <c r="AX29" s="695"/>
      <c r="AY29" s="695"/>
      <c r="AZ29" s="695"/>
      <c r="BA29" s="695"/>
      <c r="BB29" s="695"/>
      <c r="BC29" s="695"/>
      <c r="BD29" s="695"/>
      <c r="BE29" s="695"/>
      <c r="BF29" s="695"/>
      <c r="BG29" s="695"/>
      <c r="BH29" s="695"/>
      <c r="BI29" s="695"/>
      <c r="BJ29" s="695"/>
      <c r="BK29" s="695"/>
      <c r="BL29" s="494" t="str">
        <f>CharacterSheet!$Q$12</f>
        <v>Special</v>
      </c>
      <c r="BM29" s="403"/>
      <c r="BN29" s="403"/>
      <c r="BO29" s="615"/>
      <c r="BP29" s="250"/>
      <c r="BQ29" s="240"/>
      <c r="BR29" s="240"/>
      <c r="BS29" s="240"/>
      <c r="BT29" s="241"/>
      <c r="BU29" s="297"/>
      <c r="BV29" s="297"/>
      <c r="BW29" s="297"/>
      <c r="BX29" s="297"/>
      <c r="BY29" s="297"/>
      <c r="BZ29" s="297"/>
      <c r="CA29" s="297"/>
      <c r="CB29" s="297"/>
      <c r="CC29" s="297"/>
      <c r="CD29" s="297"/>
      <c r="CE29" s="297"/>
      <c r="CF29" s="297"/>
      <c r="CG29" s="297"/>
      <c r="CH29" s="297"/>
      <c r="CI29" s="297"/>
      <c r="CJ29" s="494" t="str">
        <f>CharacterSheet!$Q$12</f>
        <v>Special</v>
      </c>
      <c r="CK29" s="403"/>
      <c r="CL29" s="403"/>
      <c r="CM29" s="403"/>
      <c r="CN29" s="229">
        <f>IF(AND(T29=0,AR29=0,BP29=0,FB27=0,FK27=0,FT27=0,GC27=0,ES27=0,DemigodConversion!$AC24+DemigodConversion!$AF24&gt;0),1,0)</f>
        <v>0</v>
      </c>
      <c r="CO29" s="271">
        <f>IF(AND(U29=0,AS29=0,BQ29=0,FC27=0,FL27=0,FU27=0,GD27=0,ET27=0,DemigodConversion!$AC24+DemigodConversion!$AF24&gt;1),1,0)</f>
        <v>0</v>
      </c>
      <c r="CP29" s="271">
        <f>IF(AND(V29=0,AT29=0,BR29=0,FD27=0,FM27=0,FV27=0,GE27=0,EU27=0,DemigodConversion!$AC24+DemigodConversion!$AF24&gt;2),1,0)</f>
        <v>0</v>
      </c>
      <c r="CQ29" s="271">
        <f>IF(AND(W29=0,AU29=0,BS29=0,FE27=0,FN27=0,FW27=0,GF27=0,EV27=0,DemigodConversion!$AC24+DemigodConversion!$AF24&gt;3),1,0)</f>
        <v>0</v>
      </c>
      <c r="CR29" s="271">
        <f>IF(AND(X29=0,AV29=0,BT29=0,FF27=0,FO27=0,FX27=0,GG27=0,EW27=0,DemigodConversion!$AC24+DemigodConversion!$AF24&gt;4),1,0)</f>
        <v>0</v>
      </c>
      <c r="CS29" s="657"/>
      <c r="CT29" s="657"/>
      <c r="CU29" s="657"/>
      <c r="CV29" s="657"/>
      <c r="CW29" s="657"/>
      <c r="CX29" s="657"/>
      <c r="CY29" s="657"/>
      <c r="CZ29" s="657"/>
      <c r="DA29" s="657"/>
      <c r="DB29" s="657"/>
      <c r="DC29" s="657"/>
      <c r="DD29" s="657"/>
      <c r="DE29" s="657"/>
      <c r="DF29" s="657"/>
      <c r="DG29" s="657"/>
      <c r="DH29" s="494" t="str">
        <f>CharacterSheet!$Q$12</f>
        <v>Special</v>
      </c>
      <c r="DI29" s="403"/>
      <c r="DJ29" s="403"/>
      <c r="DK29" s="403"/>
      <c r="DL29" s="229">
        <f>IF(AND(T29=0,AR29=0,BP29=0,ES27=0,FB27=0,FK27=0,FT27=0,GC27=0,CN29=0,0&lt;GodConversion!$AC24+GodConversion!$AF24),1,0)</f>
        <v>0</v>
      </c>
      <c r="DM29" s="271">
        <f>IF(AND(U29=0,AS29=0,BQ29=0,ET27=0,FC27=0,FL27=0,FU27=0,GD27=0,CO29=0,1&lt;GodConversion!$AC24+GodConversion!$AF24),1,0)</f>
        <v>0</v>
      </c>
      <c r="DN29" s="271">
        <f>IF(AND(V29=0,AT29=0,BR29=0,EU27=0,FD27=0,FM27=0,FV27=0,GE27=0,CP29=0,2&lt;GodConversion!$AC24+GodConversion!$AF24),1,0)</f>
        <v>0</v>
      </c>
      <c r="DO29" s="271">
        <f>IF(AND(W29=0,AU29=0,BS29=0,EV27=0,FE27=0,FN27=0,FW27=0,GF27=0,CQ29=0,3&lt;GodConversion!$AC24+GodConversion!$AF24),1,0)</f>
        <v>0</v>
      </c>
      <c r="DP29" s="271">
        <f>IF(AND(X29=0,AV29=0,BT29=0,EW27=0,FF27=0,FO27=0,FX27=0,GG27=0,CR29=0,4&lt;GodConversion!$AC24+GodConversion!$AF24),1,0)</f>
        <v>0</v>
      </c>
      <c r="DQ29" s="324"/>
      <c r="DR29" s="324"/>
      <c r="DS29" s="324"/>
      <c r="DT29" s="324"/>
      <c r="DU29" s="324"/>
      <c r="DV29" s="324"/>
      <c r="DW29" s="324"/>
      <c r="DX29" s="324"/>
      <c r="DY29" s="324"/>
      <c r="DZ29" s="324"/>
      <c r="EA29" s="324"/>
      <c r="EB29" s="324"/>
      <c r="EC29" s="324"/>
      <c r="ED29" s="324"/>
      <c r="EE29" s="324"/>
      <c r="EF29" s="494" t="str">
        <f>CharacterSheet!$Q$12</f>
        <v>Special</v>
      </c>
      <c r="EG29" s="403"/>
      <c r="EH29" s="403"/>
      <c r="EI29" s="403"/>
      <c r="EJ29" s="210">
        <f>IF(AR29=1,3,IF(ES27=1,1,IF(FB27=1,1,IF(FK27=1,1,IF(FT27=1,1,IF(GC27=1,1,0))))))</f>
        <v>0</v>
      </c>
      <c r="EK29" s="210">
        <f t="shared" si="12"/>
        <v>0</v>
      </c>
      <c r="EL29" s="210">
        <f t="shared" si="13"/>
        <v>0</v>
      </c>
      <c r="EM29" s="210">
        <f t="shared" si="14"/>
        <v>0</v>
      </c>
      <c r="EN29" s="210">
        <f t="shared" si="15"/>
        <v>0</v>
      </c>
      <c r="EO29" s="494" t="str">
        <f>CharacterSheet!$Q$14</f>
        <v>Special</v>
      </c>
      <c r="EP29" s="403"/>
      <c r="EQ29" s="403"/>
      <c r="ER29" s="615"/>
      <c r="ES29" s="239"/>
      <c r="ET29" s="240"/>
      <c r="EU29" s="240"/>
      <c r="EV29" s="240"/>
      <c r="EW29" s="240"/>
      <c r="EX29" s="494" t="str">
        <f>CharacterSheet!$Q$14</f>
        <v>Special</v>
      </c>
      <c r="EY29" s="403"/>
      <c r="EZ29" s="403"/>
      <c r="FA29" s="447"/>
      <c r="FB29" s="239"/>
      <c r="FC29" s="240"/>
      <c r="FD29" s="240"/>
      <c r="FE29" s="240"/>
      <c r="FF29" s="241"/>
      <c r="FG29" s="493" t="str">
        <f>CharacterSheet!$Q$14</f>
        <v>Special</v>
      </c>
      <c r="FH29" s="403"/>
      <c r="FI29" s="403"/>
      <c r="FJ29" s="615"/>
      <c r="FK29" s="239"/>
      <c r="FL29" s="240"/>
      <c r="FM29" s="240"/>
      <c r="FN29" s="240"/>
      <c r="FO29" s="241"/>
      <c r="FP29" s="494" t="str">
        <f>CharacterSheet!$Q$14</f>
        <v>Special</v>
      </c>
      <c r="FQ29" s="403"/>
      <c r="FR29" s="403"/>
      <c r="FS29" s="615"/>
      <c r="FT29" s="239"/>
      <c r="FU29" s="240"/>
      <c r="FV29" s="240"/>
      <c r="FW29" s="240"/>
      <c r="FX29" s="241"/>
      <c r="FY29" s="494" t="str">
        <f>CharacterSheet!$Q$14</f>
        <v>Special</v>
      </c>
      <c r="FZ29" s="403"/>
      <c r="GA29" s="403"/>
      <c r="GB29" s="615"/>
      <c r="GC29" s="239"/>
      <c r="GD29" s="240"/>
      <c r="GE29" s="240"/>
      <c r="GF29" s="240"/>
      <c r="GG29" s="241"/>
      <c r="GK29" s="222" t="s">
        <v>57</v>
      </c>
      <c r="GL29" s="223">
        <f t="shared" si="8"/>
        <v>0</v>
      </c>
      <c r="GM29" s="223">
        <f>IF($GK29=Creation!$Q$28,1,0)</f>
        <v>0</v>
      </c>
      <c r="GN29" s="223">
        <f>IF($GK29=Creation!$Q$29,1,0)</f>
        <v>0</v>
      </c>
      <c r="GO29" s="223">
        <f>IF($GK29=Creation!$Q$30,1,0)</f>
        <v>0</v>
      </c>
      <c r="GP29" s="223">
        <f>IF($GK29=Creation!$Q$31,1,0)</f>
        <v>0</v>
      </c>
      <c r="GQ29" s="223">
        <f>IF($GK29=Creation!$Q$32,1,0)</f>
        <v>0</v>
      </c>
      <c r="GR29" s="223">
        <f>IF($GK29=Creation!$Q$33,1,0)</f>
        <v>0</v>
      </c>
    </row>
    <row r="30" spans="1:200" x14ac:dyDescent="0.25">
      <c r="A30" s="657"/>
      <c r="B30" s="657"/>
      <c r="C30" s="657"/>
      <c r="D30" s="657"/>
      <c r="E30" s="657"/>
      <c r="F30" s="657"/>
      <c r="G30" s="657"/>
      <c r="H30" s="657"/>
      <c r="I30" s="657"/>
      <c r="J30" s="657"/>
      <c r="K30" s="657"/>
      <c r="L30" s="657"/>
      <c r="M30" s="657"/>
      <c r="N30" s="657"/>
      <c r="O30" s="657"/>
      <c r="P30" s="494" t="str">
        <f>CharacterSheet!$Q$13</f>
        <v>Special</v>
      </c>
      <c r="Q30" s="403"/>
      <c r="R30" s="403"/>
      <c r="S30" s="403"/>
      <c r="T30" s="146">
        <f>IF(Creation!AC25+Creation!AF25&gt;0,1,0)</f>
        <v>0</v>
      </c>
      <c r="U30" s="146">
        <f>IF(Creation!AC25+Creation!AF25&gt;1,1,0)</f>
        <v>0</v>
      </c>
      <c r="V30" s="146">
        <f>IF(Creation!AC25+Creation!AF25&gt;2,1,0)</f>
        <v>0</v>
      </c>
      <c r="W30" s="146">
        <f>IF(Creation!AC25+Creation!AF25&gt;3,1,0)</f>
        <v>0</v>
      </c>
      <c r="X30" s="147">
        <f>IF(Creation!AC25+Creation!AF25&gt;4,1,0)</f>
        <v>0</v>
      </c>
      <c r="Y30" s="676"/>
      <c r="Z30" s="676"/>
      <c r="AA30" s="676"/>
      <c r="AB30" s="676"/>
      <c r="AC30" s="676"/>
      <c r="AD30" s="676"/>
      <c r="AE30" s="676"/>
      <c r="AF30" s="676"/>
      <c r="AG30" s="676"/>
      <c r="AH30" s="676"/>
      <c r="AI30" s="676"/>
      <c r="AJ30" s="676"/>
      <c r="AK30" s="676"/>
      <c r="AL30" s="676"/>
      <c r="AM30" s="324"/>
      <c r="AN30" s="494" t="str">
        <f>CharacterSheet!$Q$13</f>
        <v>Special</v>
      </c>
      <c r="AO30" s="403"/>
      <c r="AP30" s="403"/>
      <c r="AQ30" s="615"/>
      <c r="AR30" s="239"/>
      <c r="AS30" s="240"/>
      <c r="AT30" s="240"/>
      <c r="AU30" s="240"/>
      <c r="AV30" s="241"/>
      <c r="AW30" s="695"/>
      <c r="AX30" s="695"/>
      <c r="AY30" s="695"/>
      <c r="AZ30" s="695"/>
      <c r="BA30" s="695"/>
      <c r="BB30" s="695"/>
      <c r="BC30" s="695"/>
      <c r="BD30" s="695"/>
      <c r="BE30" s="695"/>
      <c r="BF30" s="695"/>
      <c r="BG30" s="695"/>
      <c r="BH30" s="695"/>
      <c r="BI30" s="695"/>
      <c r="BJ30" s="695"/>
      <c r="BK30" s="695"/>
      <c r="BL30" s="494" t="str">
        <f>CharacterSheet!$Q$13</f>
        <v>Special</v>
      </c>
      <c r="BM30" s="403"/>
      <c r="BN30" s="403"/>
      <c r="BO30" s="615"/>
      <c r="BP30" s="250"/>
      <c r="BQ30" s="240"/>
      <c r="BR30" s="240"/>
      <c r="BS30" s="240"/>
      <c r="BT30" s="241"/>
      <c r="BU30" s="297"/>
      <c r="BV30" s="297"/>
      <c r="BW30" s="297"/>
      <c r="BX30" s="297"/>
      <c r="BY30" s="297"/>
      <c r="BZ30" s="297"/>
      <c r="CA30" s="297"/>
      <c r="CB30" s="297"/>
      <c r="CC30" s="297"/>
      <c r="CD30" s="297"/>
      <c r="CE30" s="297"/>
      <c r="CF30" s="297"/>
      <c r="CG30" s="297"/>
      <c r="CH30" s="297"/>
      <c r="CI30" s="297"/>
      <c r="CJ30" s="494" t="str">
        <f>CharacterSheet!$Q$13</f>
        <v>Special</v>
      </c>
      <c r="CK30" s="403"/>
      <c r="CL30" s="403"/>
      <c r="CM30" s="403"/>
      <c r="CN30" s="229">
        <f>IF(AND(T30=0,AR30=0,BP30=0,FB28=0,FK28=0,FT28=0,GC28=0,ES28=0,DemigodConversion!$AC25+DemigodConversion!$AF25&gt;0),1,0)</f>
        <v>0</v>
      </c>
      <c r="CO30" s="271">
        <f>IF(AND(U30=0,AS30=0,BQ30=0,FC28=0,FL28=0,FU28=0,GD28=0,ET28=0,DemigodConversion!$AC25+DemigodConversion!$AF25&gt;1),1,0)</f>
        <v>0</v>
      </c>
      <c r="CP30" s="271">
        <f>IF(AND(V30=0,AT30=0,BR30=0,FD28=0,FM28=0,FV28=0,GE28=0,EU28=0,DemigodConversion!$AC25+DemigodConversion!$AF25&gt;2),1,0)</f>
        <v>0</v>
      </c>
      <c r="CQ30" s="271">
        <f>IF(AND(W30=0,AU30=0,BS30=0,FE28=0,FN28=0,FW28=0,GF28=0,EV28=0,DemigodConversion!$AC25+DemigodConversion!$AF25&gt;3),1,0)</f>
        <v>0</v>
      </c>
      <c r="CR30" s="271">
        <f>IF(AND(X30=0,AV30=0,BT30=0,FF28=0,FO28=0,FX28=0,GG28=0,EW28=0,DemigodConversion!$AC25+DemigodConversion!$AF25&gt;4),1,0)</f>
        <v>0</v>
      </c>
      <c r="CS30" s="657"/>
      <c r="CT30" s="657"/>
      <c r="CU30" s="657"/>
      <c r="CV30" s="657"/>
      <c r="CW30" s="657"/>
      <c r="CX30" s="657"/>
      <c r="CY30" s="657"/>
      <c r="CZ30" s="657"/>
      <c r="DA30" s="657"/>
      <c r="DB30" s="657"/>
      <c r="DC30" s="657"/>
      <c r="DD30" s="657"/>
      <c r="DE30" s="657"/>
      <c r="DF30" s="657"/>
      <c r="DG30" s="657"/>
      <c r="DH30" s="494" t="str">
        <f>CharacterSheet!$Q$13</f>
        <v>Special</v>
      </c>
      <c r="DI30" s="403"/>
      <c r="DJ30" s="403"/>
      <c r="DK30" s="403"/>
      <c r="DL30" s="229">
        <f>IF(AND(T30=0,AR30=0,BP30=0,ES28=0,FB28=0,FK28=0,FT28=0,GC28=0,CN30=0,0&lt;GodConversion!$AC25+GodConversion!$AF25),1,0)</f>
        <v>0</v>
      </c>
      <c r="DM30" s="271">
        <f>IF(AND(U30=0,AS30=0,BQ30=0,ET28=0,FC28=0,FL28=0,FU28=0,GD28=0,CO30=0,1&lt;GodConversion!$AC25+GodConversion!$AF25),1,0)</f>
        <v>0</v>
      </c>
      <c r="DN30" s="271">
        <f>IF(AND(V30=0,AT30=0,BR30=0,EU28=0,FD28=0,FM28=0,FV28=0,GE28=0,CP30=0,2&lt;GodConversion!$AC25+GodConversion!$AF25),1,0)</f>
        <v>0</v>
      </c>
      <c r="DO30" s="271">
        <f>IF(AND(W30=0,AU30=0,BS30=0,EV28=0,FE28=0,FN28=0,FW28=0,GF28=0,CQ30=0,3&lt;GodConversion!$AC25+GodConversion!$AF25),1,0)</f>
        <v>0</v>
      </c>
      <c r="DP30" s="271">
        <f>IF(AND(X30=0,AV30=0,BT30=0,EW28=0,FF28=0,FO28=0,FX28=0,GG28=0,CR30=0,4&lt;GodConversion!$AC25+GodConversion!$AF25),1,0)</f>
        <v>0</v>
      </c>
      <c r="DQ30" s="324"/>
      <c r="DR30" s="324"/>
      <c r="DS30" s="324"/>
      <c r="DT30" s="324"/>
      <c r="DU30" s="324"/>
      <c r="DV30" s="324"/>
      <c r="DW30" s="324"/>
      <c r="DX30" s="324"/>
      <c r="DY30" s="324"/>
      <c r="DZ30" s="324"/>
      <c r="EA30" s="324"/>
      <c r="EB30" s="324"/>
      <c r="EC30" s="324"/>
      <c r="ED30" s="324"/>
      <c r="EE30" s="324"/>
      <c r="EF30" s="494" t="str">
        <f>CharacterSheet!$Q$13</f>
        <v>Special</v>
      </c>
      <c r="EG30" s="403"/>
      <c r="EH30" s="403"/>
      <c r="EI30" s="403"/>
      <c r="EJ30" s="198">
        <f t="shared" ref="EJ30:EJ38" si="21">IF(AR30=1,3,IF(ES28=1,1,IF(FB28=1,1,IF(FK28=1,1,IF(FT28=1,1,IF(GC28=1,1,0))))))</f>
        <v>0</v>
      </c>
      <c r="EK30" s="210">
        <f t="shared" si="12"/>
        <v>0</v>
      </c>
      <c r="EL30" s="210">
        <f t="shared" si="13"/>
        <v>0</v>
      </c>
      <c r="EM30" s="210">
        <f t="shared" si="14"/>
        <v>0</v>
      </c>
      <c r="EN30" s="210">
        <f t="shared" si="15"/>
        <v>0</v>
      </c>
      <c r="EO30" s="494" t="str">
        <f>CharacterSheet!$Q$15</f>
        <v>Special</v>
      </c>
      <c r="EP30" s="403"/>
      <c r="EQ30" s="403"/>
      <c r="ER30" s="615"/>
      <c r="ES30" s="239"/>
      <c r="ET30" s="240"/>
      <c r="EU30" s="240"/>
      <c r="EV30" s="240"/>
      <c r="EW30" s="240"/>
      <c r="EX30" s="494" t="str">
        <f>CharacterSheet!$Q$15</f>
        <v>Special</v>
      </c>
      <c r="EY30" s="403"/>
      <c r="EZ30" s="403"/>
      <c r="FA30" s="447"/>
      <c r="FB30" s="239"/>
      <c r="FC30" s="240"/>
      <c r="FD30" s="240"/>
      <c r="FE30" s="240"/>
      <c r="FF30" s="241"/>
      <c r="FG30" s="493" t="str">
        <f>CharacterSheet!$Q$15</f>
        <v>Special</v>
      </c>
      <c r="FH30" s="403"/>
      <c r="FI30" s="403"/>
      <c r="FJ30" s="615"/>
      <c r="FK30" s="239"/>
      <c r="FL30" s="240"/>
      <c r="FM30" s="240"/>
      <c r="FN30" s="240"/>
      <c r="FO30" s="241"/>
      <c r="FP30" s="494" t="str">
        <f>CharacterSheet!$Q$15</f>
        <v>Special</v>
      </c>
      <c r="FQ30" s="403"/>
      <c r="FR30" s="403"/>
      <c r="FS30" s="615"/>
      <c r="FT30" s="239"/>
      <c r="FU30" s="240"/>
      <c r="FV30" s="240"/>
      <c r="FW30" s="240"/>
      <c r="FX30" s="241"/>
      <c r="FY30" s="494" t="str">
        <f>CharacterSheet!$Q$15</f>
        <v>Special</v>
      </c>
      <c r="FZ30" s="403"/>
      <c r="GA30" s="403"/>
      <c r="GB30" s="615"/>
      <c r="GC30" s="239"/>
      <c r="GD30" s="240"/>
      <c r="GE30" s="240"/>
      <c r="GF30" s="240"/>
      <c r="GG30" s="241"/>
      <c r="GK30" s="222" t="s">
        <v>58</v>
      </c>
      <c r="GL30" s="223">
        <f t="shared" si="8"/>
        <v>0</v>
      </c>
      <c r="GM30" s="223">
        <f>IF($GK30=Creation!$Q$28,1,0)</f>
        <v>0</v>
      </c>
      <c r="GN30" s="223">
        <f>IF($GK30=Creation!$Q$29,1,0)</f>
        <v>0</v>
      </c>
      <c r="GO30" s="223">
        <f>IF($GK30=Creation!$Q$30,1,0)</f>
        <v>0</v>
      </c>
      <c r="GP30" s="223">
        <f>IF($GK30=Creation!$Q$31,1,0)</f>
        <v>0</v>
      </c>
      <c r="GQ30" s="223">
        <f>IF($GK30=Creation!$Q$32,1,0)</f>
        <v>0</v>
      </c>
      <c r="GR30" s="223">
        <f>IF($GK30=Creation!$Q$33,1,0)</f>
        <v>0</v>
      </c>
    </row>
    <row r="31" spans="1:200" x14ac:dyDescent="0.25">
      <c r="A31" s="657"/>
      <c r="B31" s="657"/>
      <c r="C31" s="657"/>
      <c r="D31" s="657"/>
      <c r="E31" s="657"/>
      <c r="F31" s="657"/>
      <c r="G31" s="657"/>
      <c r="H31" s="657"/>
      <c r="I31" s="657"/>
      <c r="J31" s="657"/>
      <c r="K31" s="657"/>
      <c r="L31" s="657"/>
      <c r="M31" s="657"/>
      <c r="N31" s="657"/>
      <c r="O31" s="657"/>
      <c r="P31" s="494" t="str">
        <f>CharacterSheet!$Q$14</f>
        <v>Special</v>
      </c>
      <c r="Q31" s="403"/>
      <c r="R31" s="403"/>
      <c r="S31" s="403"/>
      <c r="T31" s="146">
        <f>IF(Creation!AC26+Creation!AF26&gt;0,1,0)</f>
        <v>0</v>
      </c>
      <c r="U31" s="146">
        <f>IF(Creation!AC26+Creation!AF26&gt;1,1,0)</f>
        <v>0</v>
      </c>
      <c r="V31" s="146">
        <f>IF(Creation!AC26+Creation!AF26&gt;2,1,0)</f>
        <v>0</v>
      </c>
      <c r="W31" s="146">
        <f>IF(Creation!AC26+Creation!AF26&gt;3,1,0)</f>
        <v>0</v>
      </c>
      <c r="X31" s="147">
        <f>IF(Creation!AC26+Creation!AF26&gt;4,1,0)</f>
        <v>0</v>
      </c>
      <c r="Y31" s="676"/>
      <c r="Z31" s="676"/>
      <c r="AA31" s="676"/>
      <c r="AB31" s="676"/>
      <c r="AC31" s="676"/>
      <c r="AD31" s="676"/>
      <c r="AE31" s="676"/>
      <c r="AF31" s="676"/>
      <c r="AG31" s="676"/>
      <c r="AH31" s="676"/>
      <c r="AI31" s="676"/>
      <c r="AJ31" s="676"/>
      <c r="AK31" s="676"/>
      <c r="AL31" s="676"/>
      <c r="AM31" s="324"/>
      <c r="AN31" s="494" t="str">
        <f>CharacterSheet!$Q$14</f>
        <v>Special</v>
      </c>
      <c r="AO31" s="403"/>
      <c r="AP31" s="403"/>
      <c r="AQ31" s="615"/>
      <c r="AR31" s="239"/>
      <c r="AS31" s="240"/>
      <c r="AT31" s="240"/>
      <c r="AU31" s="240"/>
      <c r="AV31" s="241"/>
      <c r="AW31" s="695"/>
      <c r="AX31" s="695"/>
      <c r="AY31" s="695"/>
      <c r="AZ31" s="695"/>
      <c r="BA31" s="695"/>
      <c r="BB31" s="695"/>
      <c r="BC31" s="695"/>
      <c r="BD31" s="695"/>
      <c r="BE31" s="695"/>
      <c r="BF31" s="695"/>
      <c r="BG31" s="695"/>
      <c r="BH31" s="695"/>
      <c r="BI31" s="695"/>
      <c r="BJ31" s="695"/>
      <c r="BK31" s="695"/>
      <c r="BL31" s="494" t="str">
        <f>CharacterSheet!$Q$14</f>
        <v>Special</v>
      </c>
      <c r="BM31" s="403"/>
      <c r="BN31" s="403"/>
      <c r="BO31" s="615"/>
      <c r="BP31" s="250"/>
      <c r="BQ31" s="240"/>
      <c r="BR31" s="240"/>
      <c r="BS31" s="240"/>
      <c r="BT31" s="241"/>
      <c r="BU31" s="297"/>
      <c r="BV31" s="297"/>
      <c r="BW31" s="297"/>
      <c r="BX31" s="297"/>
      <c r="BY31" s="297"/>
      <c r="BZ31" s="297"/>
      <c r="CA31" s="297"/>
      <c r="CB31" s="297"/>
      <c r="CC31" s="297"/>
      <c r="CD31" s="297"/>
      <c r="CE31" s="297"/>
      <c r="CF31" s="297"/>
      <c r="CG31" s="297"/>
      <c r="CH31" s="297"/>
      <c r="CI31" s="297"/>
      <c r="CJ31" s="494" t="str">
        <f>CharacterSheet!$Q$14</f>
        <v>Special</v>
      </c>
      <c r="CK31" s="403"/>
      <c r="CL31" s="403"/>
      <c r="CM31" s="403"/>
      <c r="CN31" s="229">
        <f>IF(AND(T31=0,AR31=0,BP31=0,FB29=0,FK29=0,FT29=0,GC29=0,ES29=0,DemigodConversion!$AC26+DemigodConversion!$AF26&gt;0),1,0)</f>
        <v>0</v>
      </c>
      <c r="CO31" s="271">
        <f>IF(AND(U31=0,AS31=0,BQ31=0,FC29=0,FL29=0,FU29=0,GD29=0,ET29=0,DemigodConversion!$AC26+DemigodConversion!$AF26&gt;1),1,0)</f>
        <v>0</v>
      </c>
      <c r="CP31" s="271">
        <f>IF(AND(V31=0,AT31=0,BR31=0,FD29=0,FM29=0,FV29=0,GE29=0,EU29=0,DemigodConversion!$AC26+DemigodConversion!$AF26&gt;2),1,0)</f>
        <v>0</v>
      </c>
      <c r="CQ31" s="271">
        <f>IF(AND(W31=0,AU31=0,BS31=0,FE29=0,FN29=0,FW29=0,GF29=0,EV29=0,DemigodConversion!$AC26+DemigodConversion!$AF26&gt;3),1,0)</f>
        <v>0</v>
      </c>
      <c r="CR31" s="271">
        <f>IF(AND(X31=0,AV31=0,BT31=0,FF29=0,FO29=0,FX29=0,GG29=0,EW29=0,DemigodConversion!$AC26+DemigodConversion!$AF26&gt;4),1,0)</f>
        <v>0</v>
      </c>
      <c r="CS31" s="657"/>
      <c r="CT31" s="657"/>
      <c r="CU31" s="657"/>
      <c r="CV31" s="657"/>
      <c r="CW31" s="657"/>
      <c r="CX31" s="657"/>
      <c r="CY31" s="657"/>
      <c r="CZ31" s="657"/>
      <c r="DA31" s="657"/>
      <c r="DB31" s="657"/>
      <c r="DC31" s="657"/>
      <c r="DD31" s="657"/>
      <c r="DE31" s="657"/>
      <c r="DF31" s="657"/>
      <c r="DG31" s="657"/>
      <c r="DH31" s="494" t="str">
        <f>CharacterSheet!$Q$14</f>
        <v>Special</v>
      </c>
      <c r="DI31" s="403"/>
      <c r="DJ31" s="403"/>
      <c r="DK31" s="403"/>
      <c r="DL31" s="229">
        <f>IF(AND(T31=0,AR31=0,BP31=0,ES29=0,FB29=0,FK29=0,FT29=0,GC29=0,CN31=0,0&lt;GodConversion!$AC26+GodConversion!$AF26),1,0)</f>
        <v>0</v>
      </c>
      <c r="DM31" s="271">
        <f>IF(AND(U31=0,AS31=0,BQ31=0,ET29=0,FC29=0,FL29=0,FU29=0,GD29=0,CO31=0,1&lt;GodConversion!$AC26+GodConversion!$AF26),1,0)</f>
        <v>0</v>
      </c>
      <c r="DN31" s="271">
        <f>IF(AND(V31=0,AT31=0,BR31=0,EU29=0,FD29=0,FM29=0,FV29=0,GE29=0,CP31=0,2&lt;GodConversion!$AC26+GodConversion!$AF26),1,0)</f>
        <v>0</v>
      </c>
      <c r="DO31" s="271">
        <f>IF(AND(W31=0,AU31=0,BS31=0,EV29=0,FE29=0,FN29=0,FW29=0,GF29=0,CQ31=0,3&lt;GodConversion!$AC26+GodConversion!$AF26),1,0)</f>
        <v>0</v>
      </c>
      <c r="DP31" s="271">
        <f>IF(AND(X31=0,AV31=0,BT31=0,EW29=0,FF29=0,FO29=0,FX29=0,GG29=0,CR31=0,4&lt;GodConversion!$AC26+GodConversion!$AF26),1,0)</f>
        <v>0</v>
      </c>
      <c r="DQ31" s="324"/>
      <c r="DR31" s="324"/>
      <c r="DS31" s="324"/>
      <c r="DT31" s="324"/>
      <c r="DU31" s="324"/>
      <c r="DV31" s="324"/>
      <c r="DW31" s="324"/>
      <c r="DX31" s="324"/>
      <c r="DY31" s="324"/>
      <c r="DZ31" s="324"/>
      <c r="EA31" s="324"/>
      <c r="EB31" s="324"/>
      <c r="EC31" s="324"/>
      <c r="ED31" s="324"/>
      <c r="EE31" s="324"/>
      <c r="EF31" s="494" t="str">
        <f>CharacterSheet!$Q$14</f>
        <v>Special</v>
      </c>
      <c r="EG31" s="403"/>
      <c r="EH31" s="403"/>
      <c r="EI31" s="403"/>
      <c r="EJ31" s="198">
        <f t="shared" si="21"/>
        <v>0</v>
      </c>
      <c r="EK31" s="210">
        <f t="shared" si="12"/>
        <v>0</v>
      </c>
      <c r="EL31" s="210">
        <f t="shared" si="13"/>
        <v>0</v>
      </c>
      <c r="EM31" s="210">
        <f t="shared" si="14"/>
        <v>0</v>
      </c>
      <c r="EN31" s="210">
        <f t="shared" si="15"/>
        <v>0</v>
      </c>
      <c r="EO31" s="494" t="str">
        <f>CharacterSheet!$Q$16</f>
        <v>Special</v>
      </c>
      <c r="EP31" s="403"/>
      <c r="EQ31" s="403"/>
      <c r="ER31" s="615"/>
      <c r="ES31" s="239"/>
      <c r="ET31" s="240"/>
      <c r="EU31" s="240"/>
      <c r="EV31" s="240"/>
      <c r="EW31" s="240"/>
      <c r="EX31" s="494" t="str">
        <f>CharacterSheet!$Q$16</f>
        <v>Special</v>
      </c>
      <c r="EY31" s="403"/>
      <c r="EZ31" s="403"/>
      <c r="FA31" s="447"/>
      <c r="FB31" s="239"/>
      <c r="FC31" s="240"/>
      <c r="FD31" s="240"/>
      <c r="FE31" s="240"/>
      <c r="FF31" s="241"/>
      <c r="FG31" s="493" t="str">
        <f>CharacterSheet!$Q$16</f>
        <v>Special</v>
      </c>
      <c r="FH31" s="403"/>
      <c r="FI31" s="403"/>
      <c r="FJ31" s="615"/>
      <c r="FK31" s="239"/>
      <c r="FL31" s="240"/>
      <c r="FM31" s="240"/>
      <c r="FN31" s="240"/>
      <c r="FO31" s="241"/>
      <c r="FP31" s="494" t="str">
        <f>CharacterSheet!$Q$16</f>
        <v>Special</v>
      </c>
      <c r="FQ31" s="403"/>
      <c r="FR31" s="403"/>
      <c r="FS31" s="615"/>
      <c r="FT31" s="239"/>
      <c r="FU31" s="240"/>
      <c r="FV31" s="240"/>
      <c r="FW31" s="240"/>
      <c r="FX31" s="241"/>
      <c r="FY31" s="494" t="str">
        <f>CharacterSheet!$Q$16</f>
        <v>Special</v>
      </c>
      <c r="FZ31" s="403"/>
      <c r="GA31" s="403"/>
      <c r="GB31" s="615"/>
      <c r="GC31" s="239"/>
      <c r="GD31" s="240"/>
      <c r="GE31" s="240"/>
      <c r="GF31" s="240"/>
      <c r="GG31" s="241"/>
      <c r="GK31" s="222"/>
      <c r="GL31" s="222"/>
      <c r="GM31" s="222"/>
      <c r="GN31" s="222"/>
      <c r="GO31" s="222"/>
      <c r="GP31" s="222"/>
      <c r="GQ31" s="222"/>
      <c r="GR31" s="222"/>
    </row>
    <row r="32" spans="1:200" ht="15.75" thickBot="1" x14ac:dyDescent="0.3">
      <c r="A32" s="657"/>
      <c r="B32" s="657"/>
      <c r="C32" s="657"/>
      <c r="D32" s="657"/>
      <c r="E32" s="657"/>
      <c r="F32" s="657"/>
      <c r="G32" s="657"/>
      <c r="H32" s="657"/>
      <c r="I32" s="657"/>
      <c r="J32" s="657"/>
      <c r="K32" s="657"/>
      <c r="L32" s="657"/>
      <c r="M32" s="657"/>
      <c r="N32" s="657"/>
      <c r="O32" s="657"/>
      <c r="P32" s="494" t="str">
        <f>CharacterSheet!$Q$15</f>
        <v>Special</v>
      </c>
      <c r="Q32" s="403"/>
      <c r="R32" s="403"/>
      <c r="S32" s="403"/>
      <c r="T32" s="146">
        <f>IF(Creation!AC27+Creation!AF27&gt;0,1,0)</f>
        <v>0</v>
      </c>
      <c r="U32" s="146">
        <f>IF(Creation!AC27+Creation!AF27&gt;1,1,0)</f>
        <v>0</v>
      </c>
      <c r="V32" s="146">
        <f>IF(Creation!AC27+Creation!AF27&gt;2,1,0)</f>
        <v>0</v>
      </c>
      <c r="W32" s="146">
        <f>IF(Creation!AC27+Creation!AF27&gt;3,1,0)</f>
        <v>0</v>
      </c>
      <c r="X32" s="147">
        <f>IF(Creation!AC27+Creation!AF27&gt;4,1,0)</f>
        <v>0</v>
      </c>
      <c r="Y32" s="676"/>
      <c r="Z32" s="676"/>
      <c r="AA32" s="676"/>
      <c r="AB32" s="676"/>
      <c r="AC32" s="676"/>
      <c r="AD32" s="676"/>
      <c r="AE32" s="676"/>
      <c r="AF32" s="676"/>
      <c r="AG32" s="676"/>
      <c r="AH32" s="676"/>
      <c r="AI32" s="676"/>
      <c r="AJ32" s="676"/>
      <c r="AK32" s="676"/>
      <c r="AL32" s="676"/>
      <c r="AM32" s="324"/>
      <c r="AN32" s="494" t="str">
        <f>CharacterSheet!$Q$15</f>
        <v>Special</v>
      </c>
      <c r="AO32" s="403"/>
      <c r="AP32" s="403"/>
      <c r="AQ32" s="615"/>
      <c r="AR32" s="239"/>
      <c r="AS32" s="240"/>
      <c r="AT32" s="240"/>
      <c r="AU32" s="240"/>
      <c r="AV32" s="241"/>
      <c r="AW32" s="695"/>
      <c r="AX32" s="695"/>
      <c r="AY32" s="695"/>
      <c r="AZ32" s="695"/>
      <c r="BA32" s="695"/>
      <c r="BB32" s="695"/>
      <c r="BC32" s="695"/>
      <c r="BD32" s="695"/>
      <c r="BE32" s="695"/>
      <c r="BF32" s="695"/>
      <c r="BG32" s="695"/>
      <c r="BH32" s="695"/>
      <c r="BI32" s="695"/>
      <c r="BJ32" s="695"/>
      <c r="BK32" s="695"/>
      <c r="BL32" s="494" t="str">
        <f>CharacterSheet!$Q$15</f>
        <v>Special</v>
      </c>
      <c r="BM32" s="403"/>
      <c r="BN32" s="403"/>
      <c r="BO32" s="615"/>
      <c r="BP32" s="250"/>
      <c r="BQ32" s="240"/>
      <c r="BR32" s="240"/>
      <c r="BS32" s="240"/>
      <c r="BT32" s="241"/>
      <c r="BU32" s="297"/>
      <c r="BV32" s="297"/>
      <c r="BW32" s="297"/>
      <c r="BX32" s="297"/>
      <c r="BY32" s="297"/>
      <c r="BZ32" s="297"/>
      <c r="CA32" s="297"/>
      <c r="CB32" s="297"/>
      <c r="CC32" s="297"/>
      <c r="CD32" s="297"/>
      <c r="CE32" s="297"/>
      <c r="CF32" s="297"/>
      <c r="CG32" s="297"/>
      <c r="CH32" s="297"/>
      <c r="CI32" s="297"/>
      <c r="CJ32" s="494" t="str">
        <f>CharacterSheet!$Q$15</f>
        <v>Special</v>
      </c>
      <c r="CK32" s="403"/>
      <c r="CL32" s="403"/>
      <c r="CM32" s="403"/>
      <c r="CN32" s="229">
        <f>IF(AND(T32=0,AR32=0,BP32=0,FB30=0,FK30=0,FT30=0,GC30=0,ES30=0,DemigodConversion!$AC27+DemigodConversion!$AF27&gt;0),1,0)</f>
        <v>0</v>
      </c>
      <c r="CO32" s="271">
        <f>IF(AND(U32=0,AS32=0,BQ32=0,FC30=0,FL30=0,FU30=0,GD30=0,ET30=0,DemigodConversion!$AC27+DemigodConversion!$AF27&gt;1),1,0)</f>
        <v>0</v>
      </c>
      <c r="CP32" s="271">
        <f>IF(AND(V32=0,AT32=0,BR32=0,FD30=0,FM30=0,FV30=0,GE30=0,EU30=0,DemigodConversion!$AC27+DemigodConversion!$AF27&gt;2),1,0)</f>
        <v>0</v>
      </c>
      <c r="CQ32" s="271">
        <f>IF(AND(W32=0,AU32=0,BS32=0,FE30=0,FN30=0,FW30=0,GF30=0,EV30=0,DemigodConversion!$AC27+DemigodConversion!$AF27&gt;3),1,0)</f>
        <v>0</v>
      </c>
      <c r="CR32" s="271">
        <f>IF(AND(X32=0,AV32=0,BT32=0,FF30=0,FO30=0,FX30=0,GG30=0,EW30=0,DemigodConversion!$AC27+DemigodConversion!$AF27&gt;4),1,0)</f>
        <v>0</v>
      </c>
      <c r="CS32" s="657"/>
      <c r="CT32" s="657"/>
      <c r="CU32" s="657"/>
      <c r="CV32" s="657"/>
      <c r="CW32" s="657"/>
      <c r="CX32" s="657"/>
      <c r="CY32" s="657"/>
      <c r="CZ32" s="657"/>
      <c r="DA32" s="657"/>
      <c r="DB32" s="657"/>
      <c r="DC32" s="657"/>
      <c r="DD32" s="657"/>
      <c r="DE32" s="657"/>
      <c r="DF32" s="657"/>
      <c r="DG32" s="657"/>
      <c r="DH32" s="494" t="str">
        <f>CharacterSheet!$Q$15</f>
        <v>Special</v>
      </c>
      <c r="DI32" s="403"/>
      <c r="DJ32" s="403"/>
      <c r="DK32" s="403"/>
      <c r="DL32" s="229">
        <f>IF(AND(T32=0,AR32=0,BP32=0,ES30=0,FB30=0,FK30=0,FT30=0,GC30=0,CN32=0,0&lt;GodConversion!$AC27+GodConversion!$AF27),1,0)</f>
        <v>0</v>
      </c>
      <c r="DM32" s="271">
        <f>IF(AND(U32=0,AS32=0,BQ32=0,ET30=0,FC30=0,FL30=0,FU30=0,GD30=0,CO32=0,1&lt;GodConversion!$AC27+GodConversion!$AF27),1,0)</f>
        <v>0</v>
      </c>
      <c r="DN32" s="271">
        <f>IF(AND(V32=0,AT32=0,BR32=0,EU30=0,FD30=0,FM30=0,FV30=0,GE30=0,CP32=0,2&lt;GodConversion!$AC27+GodConversion!$AF27),1,0)</f>
        <v>0</v>
      </c>
      <c r="DO32" s="271">
        <f>IF(AND(W32=0,AU32=0,BS32=0,EV30=0,FE30=0,FN30=0,FW30=0,GF30=0,CQ32=0,3&lt;GodConversion!$AC27+GodConversion!$AF27),1,0)</f>
        <v>0</v>
      </c>
      <c r="DP32" s="271">
        <f>IF(AND(X32=0,AV32=0,BT32=0,EW30=0,FF30=0,FO30=0,FX30=0,GG30=0,CR32=0,4&lt;GodConversion!$AC27+GodConversion!$AF27),1,0)</f>
        <v>0</v>
      </c>
      <c r="DQ32" s="324"/>
      <c r="DR32" s="324"/>
      <c r="DS32" s="324"/>
      <c r="DT32" s="324"/>
      <c r="DU32" s="324"/>
      <c r="DV32" s="324"/>
      <c r="DW32" s="324"/>
      <c r="DX32" s="324"/>
      <c r="DY32" s="324"/>
      <c r="DZ32" s="324"/>
      <c r="EA32" s="324"/>
      <c r="EB32" s="324"/>
      <c r="EC32" s="324"/>
      <c r="ED32" s="324"/>
      <c r="EE32" s="324"/>
      <c r="EF32" s="494" t="str">
        <f>CharacterSheet!$Q$15</f>
        <v>Special</v>
      </c>
      <c r="EG32" s="403"/>
      <c r="EH32" s="403"/>
      <c r="EI32" s="403"/>
      <c r="EJ32" s="198">
        <f t="shared" si="21"/>
        <v>0</v>
      </c>
      <c r="EK32" s="210">
        <f t="shared" si="12"/>
        <v>0</v>
      </c>
      <c r="EL32" s="210">
        <f t="shared" si="13"/>
        <v>0</v>
      </c>
      <c r="EM32" s="210">
        <f t="shared" si="14"/>
        <v>0</v>
      </c>
      <c r="EN32" s="210">
        <f t="shared" si="15"/>
        <v>0</v>
      </c>
      <c r="EO32" s="494" t="str">
        <f>CharacterSheet!$Q$17</f>
        <v>Special</v>
      </c>
      <c r="EP32" s="403"/>
      <c r="EQ32" s="403"/>
      <c r="ER32" s="615"/>
      <c r="ES32" s="239"/>
      <c r="ET32" s="240"/>
      <c r="EU32" s="240"/>
      <c r="EV32" s="240"/>
      <c r="EW32" s="240"/>
      <c r="EX32" s="494" t="str">
        <f>CharacterSheet!$Q$17</f>
        <v>Special</v>
      </c>
      <c r="EY32" s="403"/>
      <c r="EZ32" s="403"/>
      <c r="FA32" s="447"/>
      <c r="FB32" s="239"/>
      <c r="FC32" s="240"/>
      <c r="FD32" s="240"/>
      <c r="FE32" s="240"/>
      <c r="FF32" s="241"/>
      <c r="FG32" s="493" t="str">
        <f>CharacterSheet!$Q$17</f>
        <v>Special</v>
      </c>
      <c r="FH32" s="403"/>
      <c r="FI32" s="403"/>
      <c r="FJ32" s="615"/>
      <c r="FK32" s="239"/>
      <c r="FL32" s="240"/>
      <c r="FM32" s="240"/>
      <c r="FN32" s="240"/>
      <c r="FO32" s="241"/>
      <c r="FP32" s="494" t="str">
        <f>CharacterSheet!$Q$17</f>
        <v>Special</v>
      </c>
      <c r="FQ32" s="403"/>
      <c r="FR32" s="403"/>
      <c r="FS32" s="615"/>
      <c r="FT32" s="239"/>
      <c r="FU32" s="240"/>
      <c r="FV32" s="240"/>
      <c r="FW32" s="240"/>
      <c r="FX32" s="241"/>
      <c r="FY32" s="494" t="str">
        <f>CharacterSheet!$Q$17</f>
        <v>Special</v>
      </c>
      <c r="FZ32" s="403"/>
      <c r="GA32" s="403"/>
      <c r="GB32" s="615"/>
      <c r="GC32" s="239"/>
      <c r="GD32" s="240"/>
      <c r="GE32" s="240"/>
      <c r="GF32" s="240"/>
      <c r="GG32" s="241"/>
    </row>
    <row r="33" spans="1:189" ht="15.75" customHeight="1" x14ac:dyDescent="0.25">
      <c r="A33" s="657"/>
      <c r="B33" s="657"/>
      <c r="C33" s="657"/>
      <c r="D33" s="657"/>
      <c r="E33" s="657"/>
      <c r="F33" s="657"/>
      <c r="G33" s="657"/>
      <c r="H33" s="657"/>
      <c r="I33" s="657"/>
      <c r="J33" s="657"/>
      <c r="K33" s="657"/>
      <c r="L33" s="657"/>
      <c r="M33" s="657"/>
      <c r="N33" s="657"/>
      <c r="O33" s="657"/>
      <c r="P33" s="494" t="str">
        <f>CharacterSheet!$Q$16</f>
        <v>Special</v>
      </c>
      <c r="Q33" s="403"/>
      <c r="R33" s="403"/>
      <c r="S33" s="403"/>
      <c r="T33" s="146">
        <f>IF(Creation!AC28+Creation!AF28&gt;0,1,0)</f>
        <v>0</v>
      </c>
      <c r="U33" s="146">
        <f>IF(Creation!AC28+Creation!AF28&gt;1,1,0)</f>
        <v>0</v>
      </c>
      <c r="V33" s="146">
        <f>IF(Creation!AC28+Creation!AF28&gt;2,1,0)</f>
        <v>0</v>
      </c>
      <c r="W33" s="146">
        <f>IF(Creation!AC28+Creation!AF28&gt;3,1,0)</f>
        <v>0</v>
      </c>
      <c r="X33" s="149">
        <f>IF(Creation!AC28+Creation!AF28&gt;4,1,0)</f>
        <v>0</v>
      </c>
      <c r="Y33" s="373" t="s">
        <v>459</v>
      </c>
      <c r="Z33" s="374"/>
      <c r="AA33" s="374"/>
      <c r="AB33" s="374"/>
      <c r="AC33" s="374"/>
      <c r="AD33" s="374"/>
      <c r="AE33" s="374">
        <f>SUM(DV4:EE4,DV6:EE14,DU16:EE24,EA26:EE26,EK4:EN7,EJ9:EN38,DY28,ED40:EN40,ED42:EN42,ED44:EN44,ED46:EN46,ED48:EN48,ED50:EN50)+AD27*5</f>
        <v>0</v>
      </c>
      <c r="AF33" s="374"/>
      <c r="AG33" s="374"/>
      <c r="AH33" s="375"/>
      <c r="AI33" s="296"/>
      <c r="AJ33" s="297"/>
      <c r="AK33" s="297"/>
      <c r="AL33" s="297"/>
      <c r="AM33" s="297"/>
      <c r="AN33" s="494" t="str">
        <f>CharacterSheet!$Q$16</f>
        <v>Special</v>
      </c>
      <c r="AO33" s="403"/>
      <c r="AP33" s="403"/>
      <c r="AQ33" s="615"/>
      <c r="AR33" s="239"/>
      <c r="AS33" s="240"/>
      <c r="AT33" s="240"/>
      <c r="AU33" s="240"/>
      <c r="AV33" s="241"/>
      <c r="AW33" s="695"/>
      <c r="AX33" s="695"/>
      <c r="AY33" s="695"/>
      <c r="AZ33" s="695"/>
      <c r="BA33" s="695"/>
      <c r="BB33" s="695"/>
      <c r="BC33" s="695"/>
      <c r="BD33" s="695"/>
      <c r="BE33" s="695"/>
      <c r="BF33" s="695"/>
      <c r="BG33" s="695"/>
      <c r="BH33" s="695"/>
      <c r="BI33" s="695"/>
      <c r="BJ33" s="695"/>
      <c r="BK33" s="695"/>
      <c r="BL33" s="494" t="str">
        <f>CharacterSheet!$Q$16</f>
        <v>Special</v>
      </c>
      <c r="BM33" s="403"/>
      <c r="BN33" s="403"/>
      <c r="BO33" s="615"/>
      <c r="BP33" s="250"/>
      <c r="BQ33" s="240"/>
      <c r="BR33" s="240"/>
      <c r="BS33" s="240"/>
      <c r="BT33" s="241"/>
      <c r="BU33" s="297"/>
      <c r="BV33" s="297"/>
      <c r="BW33" s="297"/>
      <c r="BX33" s="297"/>
      <c r="BY33" s="297"/>
      <c r="BZ33" s="297"/>
      <c r="CA33" s="297"/>
      <c r="CB33" s="297"/>
      <c r="CC33" s="297"/>
      <c r="CD33" s="297"/>
      <c r="CE33" s="297"/>
      <c r="CF33" s="297"/>
      <c r="CG33" s="297"/>
      <c r="CH33" s="297"/>
      <c r="CI33" s="297"/>
      <c r="CJ33" s="494" t="str">
        <f>CharacterSheet!$Q$16</f>
        <v>Special</v>
      </c>
      <c r="CK33" s="403"/>
      <c r="CL33" s="403"/>
      <c r="CM33" s="403"/>
      <c r="CN33" s="229">
        <f>IF(AND(T33=0,AR33=0,BP33=0,FB31=0,FK31=0,FT31=0,GC31=0,ES31=0,DemigodConversion!$AC28+DemigodConversion!$AF28&gt;0),1,0)</f>
        <v>0</v>
      </c>
      <c r="CO33" s="271">
        <f>IF(AND(U33=0,AS33=0,BQ33=0,FC31=0,FL31=0,FU31=0,GD31=0,ET31=0,DemigodConversion!$AC28+DemigodConversion!$AF28&gt;1),1,0)</f>
        <v>0</v>
      </c>
      <c r="CP33" s="271">
        <f>IF(AND(V33=0,AT33=0,BR33=0,FD31=0,FM31=0,FV31=0,GE31=0,EU31=0,DemigodConversion!$AC28+DemigodConversion!$AF28&gt;2),1,0)</f>
        <v>0</v>
      </c>
      <c r="CQ33" s="271">
        <f>IF(AND(W33=0,AU33=0,BS33=0,FE31=0,FN31=0,FW31=0,GF31=0,EV31=0,DemigodConversion!$AC28+DemigodConversion!$AF28&gt;3),1,0)</f>
        <v>0</v>
      </c>
      <c r="CR33" s="271">
        <f>IF(AND(X33=0,AV33=0,BT33=0,FF31=0,FO31=0,FX31=0,GG31=0,EW31=0,DemigodConversion!$AC28+DemigodConversion!$AF28&gt;4),1,0)</f>
        <v>0</v>
      </c>
      <c r="CS33" s="657"/>
      <c r="CT33" s="657"/>
      <c r="CU33" s="657"/>
      <c r="CV33" s="657"/>
      <c r="CW33" s="657"/>
      <c r="CX33" s="657"/>
      <c r="CY33" s="657"/>
      <c r="CZ33" s="657"/>
      <c r="DA33" s="657"/>
      <c r="DB33" s="657"/>
      <c r="DC33" s="657"/>
      <c r="DD33" s="657"/>
      <c r="DE33" s="657"/>
      <c r="DF33" s="657"/>
      <c r="DG33" s="657"/>
      <c r="DH33" s="494" t="str">
        <f>CharacterSheet!$Q$16</f>
        <v>Special</v>
      </c>
      <c r="DI33" s="403"/>
      <c r="DJ33" s="403"/>
      <c r="DK33" s="403"/>
      <c r="DL33" s="229">
        <f>IF(AND(T33=0,AR33=0,BP33=0,ES31=0,FB31=0,FK31=0,FT31=0,GC31=0,CN33=0,0&lt;GodConversion!$AC28+GodConversion!$AF28),1,0)</f>
        <v>0</v>
      </c>
      <c r="DM33" s="271">
        <f>IF(AND(U33=0,AS33=0,BQ33=0,ET31=0,FC31=0,FL31=0,FU31=0,GD31=0,CO33=0,1&lt;GodConversion!$AC28+GodConversion!$AF28),1,0)</f>
        <v>0</v>
      </c>
      <c r="DN33" s="271">
        <f>IF(AND(V33=0,AT33=0,BR33=0,EU31=0,FD31=0,FM31=0,FV31=0,GE31=0,CP33=0,2&lt;GodConversion!$AC28+GodConversion!$AF28),1,0)</f>
        <v>0</v>
      </c>
      <c r="DO33" s="271">
        <f>IF(AND(W33=0,AU33=0,BS33=0,EV31=0,FE31=0,FN31=0,FW31=0,GF31=0,CQ33=0,3&lt;GodConversion!$AC28+GodConversion!$AF28),1,0)</f>
        <v>0</v>
      </c>
      <c r="DP33" s="271">
        <f>IF(AND(X33=0,AV33=0,BT33=0,EW31=0,FF31=0,FO31=0,FX31=0,GG31=0,CR33=0,4&lt;GodConversion!$AC28+GodConversion!$AF28),1,0)</f>
        <v>0</v>
      </c>
      <c r="DQ33" s="324"/>
      <c r="DR33" s="324"/>
      <c r="DS33" s="324"/>
      <c r="DT33" s="324"/>
      <c r="DU33" s="324"/>
      <c r="DV33" s="324"/>
      <c r="DW33" s="324"/>
      <c r="DX33" s="324"/>
      <c r="DY33" s="324"/>
      <c r="DZ33" s="324"/>
      <c r="EA33" s="324"/>
      <c r="EB33" s="324"/>
      <c r="EC33" s="324"/>
      <c r="ED33" s="324"/>
      <c r="EE33" s="324"/>
      <c r="EF33" s="494" t="str">
        <f>CharacterSheet!$Q$16</f>
        <v>Special</v>
      </c>
      <c r="EG33" s="403"/>
      <c r="EH33" s="403"/>
      <c r="EI33" s="403"/>
      <c r="EJ33" s="198">
        <f t="shared" si="21"/>
        <v>0</v>
      </c>
      <c r="EK33" s="210">
        <f t="shared" si="12"/>
        <v>0</v>
      </c>
      <c r="EL33" s="210">
        <f t="shared" si="13"/>
        <v>0</v>
      </c>
      <c r="EM33" s="210">
        <f t="shared" si="14"/>
        <v>0</v>
      </c>
      <c r="EN33" s="210">
        <f t="shared" si="15"/>
        <v>0</v>
      </c>
      <c r="EO33" s="494" t="str">
        <f>CharacterSheet!$Q$18</f>
        <v>Special</v>
      </c>
      <c r="EP33" s="403"/>
      <c r="EQ33" s="403"/>
      <c r="ER33" s="615"/>
      <c r="ES33" s="239"/>
      <c r="ET33" s="240"/>
      <c r="EU33" s="240"/>
      <c r="EV33" s="240"/>
      <c r="EW33" s="240"/>
      <c r="EX33" s="494" t="str">
        <f>CharacterSheet!$Q$18</f>
        <v>Special</v>
      </c>
      <c r="EY33" s="403"/>
      <c r="EZ33" s="403"/>
      <c r="FA33" s="447"/>
      <c r="FB33" s="239"/>
      <c r="FC33" s="240"/>
      <c r="FD33" s="240"/>
      <c r="FE33" s="240"/>
      <c r="FF33" s="241"/>
      <c r="FG33" s="493" t="str">
        <f>CharacterSheet!$Q$18</f>
        <v>Special</v>
      </c>
      <c r="FH33" s="403"/>
      <c r="FI33" s="403"/>
      <c r="FJ33" s="615"/>
      <c r="FK33" s="239"/>
      <c r="FL33" s="240"/>
      <c r="FM33" s="240"/>
      <c r="FN33" s="240"/>
      <c r="FO33" s="241"/>
      <c r="FP33" s="494" t="str">
        <f>CharacterSheet!$Q$18</f>
        <v>Special</v>
      </c>
      <c r="FQ33" s="403"/>
      <c r="FR33" s="403"/>
      <c r="FS33" s="615"/>
      <c r="FT33" s="239"/>
      <c r="FU33" s="240"/>
      <c r="FV33" s="240"/>
      <c r="FW33" s="240"/>
      <c r="FX33" s="241"/>
      <c r="FY33" s="494" t="str">
        <f>CharacterSheet!$Q$18</f>
        <v>Special</v>
      </c>
      <c r="FZ33" s="403"/>
      <c r="GA33" s="403"/>
      <c r="GB33" s="615"/>
      <c r="GC33" s="239"/>
      <c r="GD33" s="240"/>
      <c r="GE33" s="240"/>
      <c r="GF33" s="240"/>
      <c r="GG33" s="241"/>
    </row>
    <row r="34" spans="1:189" ht="15.75" customHeight="1" thickBot="1" x14ac:dyDescent="0.3">
      <c r="A34" s="657"/>
      <c r="B34" s="657"/>
      <c r="C34" s="657"/>
      <c r="D34" s="657"/>
      <c r="E34" s="657"/>
      <c r="F34" s="657"/>
      <c r="G34" s="657"/>
      <c r="H34" s="657"/>
      <c r="I34" s="657"/>
      <c r="J34" s="657"/>
      <c r="K34" s="657"/>
      <c r="L34" s="657"/>
      <c r="M34" s="657"/>
      <c r="N34" s="657"/>
      <c r="O34" s="657"/>
      <c r="P34" s="494" t="str">
        <f>CharacterSheet!$Q$17</f>
        <v>Special</v>
      </c>
      <c r="Q34" s="403"/>
      <c r="R34" s="403"/>
      <c r="S34" s="403"/>
      <c r="T34" s="146">
        <f>IF(Creation!AC29+Creation!AF29&gt;0,1,0)</f>
        <v>0</v>
      </c>
      <c r="U34" s="146">
        <f>IF(Creation!AC29+Creation!AF29&gt;1,1,0)</f>
        <v>0</v>
      </c>
      <c r="V34" s="146">
        <f>IF(Creation!AC29+Creation!AF29&gt;2,1,0)</f>
        <v>0</v>
      </c>
      <c r="W34" s="146">
        <f>IF(Creation!AC29+Creation!AF29&gt;3,1,0)</f>
        <v>0</v>
      </c>
      <c r="X34" s="149">
        <f>IF(Creation!AC29+Creation!AF29&gt;4,1,0)</f>
        <v>0</v>
      </c>
      <c r="Y34" s="376"/>
      <c r="Z34" s="377"/>
      <c r="AA34" s="377"/>
      <c r="AB34" s="377"/>
      <c r="AC34" s="377"/>
      <c r="AD34" s="377"/>
      <c r="AE34" s="377"/>
      <c r="AF34" s="377"/>
      <c r="AG34" s="377"/>
      <c r="AH34" s="418"/>
      <c r="AI34" s="296"/>
      <c r="AJ34" s="297"/>
      <c r="AK34" s="297"/>
      <c r="AL34" s="297"/>
      <c r="AM34" s="297"/>
      <c r="AN34" s="494" t="str">
        <f>CharacterSheet!$Q$17</f>
        <v>Special</v>
      </c>
      <c r="AO34" s="403"/>
      <c r="AP34" s="403"/>
      <c r="AQ34" s="615"/>
      <c r="AR34" s="239"/>
      <c r="AS34" s="240"/>
      <c r="AT34" s="240"/>
      <c r="AU34" s="240"/>
      <c r="AV34" s="241"/>
      <c r="AW34" s="695"/>
      <c r="AX34" s="695"/>
      <c r="AY34" s="695"/>
      <c r="AZ34" s="695"/>
      <c r="BA34" s="695"/>
      <c r="BB34" s="695"/>
      <c r="BC34" s="695"/>
      <c r="BD34" s="695"/>
      <c r="BE34" s="695"/>
      <c r="BF34" s="695"/>
      <c r="BG34" s="695"/>
      <c r="BH34" s="695"/>
      <c r="BI34" s="695"/>
      <c r="BJ34" s="695"/>
      <c r="BK34" s="695"/>
      <c r="BL34" s="494" t="str">
        <f>CharacterSheet!$Q$17</f>
        <v>Special</v>
      </c>
      <c r="BM34" s="403"/>
      <c r="BN34" s="403"/>
      <c r="BO34" s="615"/>
      <c r="BP34" s="250"/>
      <c r="BQ34" s="240"/>
      <c r="BR34" s="240"/>
      <c r="BS34" s="240"/>
      <c r="BT34" s="241"/>
      <c r="BU34" s="297"/>
      <c r="BV34" s="297"/>
      <c r="BW34" s="297"/>
      <c r="BX34" s="297"/>
      <c r="BY34" s="297"/>
      <c r="BZ34" s="297"/>
      <c r="CA34" s="297"/>
      <c r="CB34" s="297"/>
      <c r="CC34" s="297"/>
      <c r="CD34" s="297"/>
      <c r="CE34" s="297"/>
      <c r="CF34" s="297"/>
      <c r="CG34" s="297"/>
      <c r="CH34" s="297"/>
      <c r="CI34" s="297"/>
      <c r="CJ34" s="494" t="str">
        <f>CharacterSheet!$Q$17</f>
        <v>Special</v>
      </c>
      <c r="CK34" s="403"/>
      <c r="CL34" s="403"/>
      <c r="CM34" s="403"/>
      <c r="CN34" s="229">
        <f>IF(AND(T34=0,AR34=0,BP34=0,FB32=0,FK32=0,FT32=0,GC32=0,ES32=0,DemigodConversion!$AC29+DemigodConversion!$AF29&gt;0),1,0)</f>
        <v>0</v>
      </c>
      <c r="CO34" s="271">
        <f>IF(AND(U34=0,AS34=0,BQ34=0,FC32=0,FL32=0,FU32=0,GD32=0,ET32=0,DemigodConversion!$AC29+DemigodConversion!$AF29&gt;1),1,0)</f>
        <v>0</v>
      </c>
      <c r="CP34" s="271">
        <f>IF(AND(V34=0,AT34=0,BR34=0,FD32=0,FM32=0,FV32=0,GE32=0,EU32=0,DemigodConversion!$AC29+DemigodConversion!$AF29&gt;2),1,0)</f>
        <v>0</v>
      </c>
      <c r="CQ34" s="271">
        <f>IF(AND(W34=0,AU34=0,BS34=0,FE32=0,FN32=0,FW32=0,GF32=0,EV32=0,DemigodConversion!$AC29+DemigodConversion!$AF29&gt;3),1,0)</f>
        <v>0</v>
      </c>
      <c r="CR34" s="271">
        <f>IF(AND(X34=0,AV34=0,BT34=0,FF32=0,FO32=0,FX32=0,GG32=0,EW32=0,DemigodConversion!$AC29+DemigodConversion!$AF29&gt;4),1,0)</f>
        <v>0</v>
      </c>
      <c r="CS34" s="657"/>
      <c r="CT34" s="657"/>
      <c r="CU34" s="657"/>
      <c r="CV34" s="657"/>
      <c r="CW34" s="657"/>
      <c r="CX34" s="657"/>
      <c r="CY34" s="657"/>
      <c r="CZ34" s="657"/>
      <c r="DA34" s="657"/>
      <c r="DB34" s="657"/>
      <c r="DC34" s="657"/>
      <c r="DD34" s="657"/>
      <c r="DE34" s="657"/>
      <c r="DF34" s="657"/>
      <c r="DG34" s="657"/>
      <c r="DH34" s="494" t="str">
        <f>CharacterSheet!$Q$17</f>
        <v>Special</v>
      </c>
      <c r="DI34" s="403"/>
      <c r="DJ34" s="403"/>
      <c r="DK34" s="403"/>
      <c r="DL34" s="229">
        <f>IF(AND(T34=0,AR34=0,BP34=0,ES32=0,FB32=0,FK32=0,FT32=0,GC32=0,CN34=0,0&lt;GodConversion!$AC29+GodConversion!$AF29),1,0)</f>
        <v>0</v>
      </c>
      <c r="DM34" s="271">
        <f>IF(AND(U34=0,AS34=0,BQ34=0,ET32=0,FC32=0,FL32=0,FU32=0,GD32=0,CO34=0,1&lt;GodConversion!$AC29+GodConversion!$AF29),1,0)</f>
        <v>0</v>
      </c>
      <c r="DN34" s="271">
        <f>IF(AND(V34=0,AT34=0,BR34=0,EU32=0,FD32=0,FM32=0,FV32=0,GE32=0,CP34=0,2&lt;GodConversion!$AC29+GodConversion!$AF29),1,0)</f>
        <v>0</v>
      </c>
      <c r="DO34" s="271">
        <f>IF(AND(W34=0,AU34=0,BS34=0,EV32=0,FE32=0,FN32=0,FW32=0,GF32=0,CQ34=0,3&lt;GodConversion!$AC29+GodConversion!$AF29),1,0)</f>
        <v>0</v>
      </c>
      <c r="DP34" s="271">
        <f>IF(AND(X34=0,AV34=0,BT34=0,EW32=0,FF32=0,FO32=0,FX32=0,GG32=0,CR34=0,4&lt;GodConversion!$AC29+GodConversion!$AF29),1,0)</f>
        <v>0</v>
      </c>
      <c r="DQ34" s="324"/>
      <c r="DR34" s="324"/>
      <c r="DS34" s="324"/>
      <c r="DT34" s="324"/>
      <c r="DU34" s="324"/>
      <c r="DV34" s="324"/>
      <c r="DW34" s="324"/>
      <c r="DX34" s="324"/>
      <c r="DY34" s="324"/>
      <c r="DZ34" s="324"/>
      <c r="EA34" s="324"/>
      <c r="EB34" s="324"/>
      <c r="EC34" s="324"/>
      <c r="ED34" s="324"/>
      <c r="EE34" s="324"/>
      <c r="EF34" s="494" t="str">
        <f>CharacterSheet!$Q$17</f>
        <v>Special</v>
      </c>
      <c r="EG34" s="403"/>
      <c r="EH34" s="403"/>
      <c r="EI34" s="403"/>
      <c r="EJ34" s="198">
        <f t="shared" si="21"/>
        <v>0</v>
      </c>
      <c r="EK34" s="210">
        <f t="shared" si="12"/>
        <v>0</v>
      </c>
      <c r="EL34" s="210">
        <f t="shared" si="13"/>
        <v>0</v>
      </c>
      <c r="EM34" s="210">
        <f t="shared" si="14"/>
        <v>0</v>
      </c>
      <c r="EN34" s="210">
        <f t="shared" si="15"/>
        <v>0</v>
      </c>
      <c r="EO34" s="494" t="str">
        <f>CharacterSheet!$Q$19</f>
        <v>Special</v>
      </c>
      <c r="EP34" s="403"/>
      <c r="EQ34" s="403"/>
      <c r="ER34" s="615"/>
      <c r="ES34" s="239"/>
      <c r="ET34" s="240"/>
      <c r="EU34" s="240"/>
      <c r="EV34" s="240"/>
      <c r="EW34" s="240"/>
      <c r="EX34" s="494" t="str">
        <f>CharacterSheet!$Q$19</f>
        <v>Special</v>
      </c>
      <c r="EY34" s="403"/>
      <c r="EZ34" s="403"/>
      <c r="FA34" s="447"/>
      <c r="FB34" s="239"/>
      <c r="FC34" s="240"/>
      <c r="FD34" s="240"/>
      <c r="FE34" s="240"/>
      <c r="FF34" s="241"/>
      <c r="FG34" s="493" t="str">
        <f>CharacterSheet!$Q$19</f>
        <v>Special</v>
      </c>
      <c r="FH34" s="403"/>
      <c r="FI34" s="403"/>
      <c r="FJ34" s="615"/>
      <c r="FK34" s="239"/>
      <c r="FL34" s="240"/>
      <c r="FM34" s="240"/>
      <c r="FN34" s="240"/>
      <c r="FO34" s="241"/>
      <c r="FP34" s="494" t="str">
        <f>CharacterSheet!$Q$19</f>
        <v>Special</v>
      </c>
      <c r="FQ34" s="403"/>
      <c r="FR34" s="403"/>
      <c r="FS34" s="615"/>
      <c r="FT34" s="239"/>
      <c r="FU34" s="240"/>
      <c r="FV34" s="240"/>
      <c r="FW34" s="240"/>
      <c r="FX34" s="241"/>
      <c r="FY34" s="494" t="str">
        <f>CharacterSheet!$Q$19</f>
        <v>Special</v>
      </c>
      <c r="FZ34" s="403"/>
      <c r="GA34" s="403"/>
      <c r="GB34" s="615"/>
      <c r="GC34" s="239"/>
      <c r="GD34" s="240"/>
      <c r="GE34" s="240"/>
      <c r="GF34" s="240"/>
      <c r="GG34" s="241"/>
    </row>
    <row r="35" spans="1:189" x14ac:dyDescent="0.25">
      <c r="A35" s="657"/>
      <c r="B35" s="657"/>
      <c r="C35" s="657"/>
      <c r="D35" s="657"/>
      <c r="E35" s="657"/>
      <c r="F35" s="657"/>
      <c r="G35" s="657"/>
      <c r="H35" s="657"/>
      <c r="I35" s="657"/>
      <c r="J35" s="657"/>
      <c r="K35" s="657"/>
      <c r="L35" s="657"/>
      <c r="M35" s="657"/>
      <c r="N35" s="657"/>
      <c r="O35" s="657"/>
      <c r="P35" s="494" t="str">
        <f>CharacterSheet!$Q$18</f>
        <v>Special</v>
      </c>
      <c r="Q35" s="403"/>
      <c r="R35" s="403"/>
      <c r="S35" s="403"/>
      <c r="T35" s="146">
        <f>IF(Creation!AC30+Creation!AF30&gt;0,1,0)</f>
        <v>0</v>
      </c>
      <c r="U35" s="146">
        <f>IF(Creation!AC30+Creation!AF30&gt;1,1,0)</f>
        <v>0</v>
      </c>
      <c r="V35" s="146">
        <f>IF(Creation!AC30+Creation!AF30&gt;2,1,0)</f>
        <v>0</v>
      </c>
      <c r="W35" s="146">
        <f>IF(Creation!AC30+Creation!AF30&gt;3,1,0)</f>
        <v>0</v>
      </c>
      <c r="X35" s="149">
        <f>IF(Creation!AC30+Creation!AF30&gt;4,1,0)</f>
        <v>0</v>
      </c>
      <c r="Y35" s="373" t="s">
        <v>505</v>
      </c>
      <c r="Z35" s="374"/>
      <c r="AA35" s="374"/>
      <c r="AB35" s="374"/>
      <c r="AC35" s="374"/>
      <c r="AD35" s="374"/>
      <c r="AE35" s="374">
        <f>CharacterSheet!V38</f>
        <v>0</v>
      </c>
      <c r="AF35" s="374"/>
      <c r="AG35" s="374"/>
      <c r="AH35" s="375"/>
      <c r="AI35" s="296"/>
      <c r="AJ35" s="297"/>
      <c r="AK35" s="297"/>
      <c r="AL35" s="297"/>
      <c r="AM35" s="297"/>
      <c r="AN35" s="494" t="str">
        <f>CharacterSheet!$Q$18</f>
        <v>Special</v>
      </c>
      <c r="AO35" s="403"/>
      <c r="AP35" s="403"/>
      <c r="AQ35" s="615"/>
      <c r="AR35" s="239"/>
      <c r="AS35" s="240"/>
      <c r="AT35" s="240"/>
      <c r="AU35" s="240"/>
      <c r="AV35" s="241"/>
      <c r="AW35" s="695"/>
      <c r="AX35" s="695"/>
      <c r="AY35" s="695"/>
      <c r="AZ35" s="695"/>
      <c r="BA35" s="695"/>
      <c r="BB35" s="695"/>
      <c r="BC35" s="695"/>
      <c r="BD35" s="695"/>
      <c r="BE35" s="695"/>
      <c r="BF35" s="695"/>
      <c r="BG35" s="695"/>
      <c r="BH35" s="695"/>
      <c r="BI35" s="695"/>
      <c r="BJ35" s="695"/>
      <c r="BK35" s="695"/>
      <c r="BL35" s="494" t="str">
        <f>CharacterSheet!$Q$18</f>
        <v>Special</v>
      </c>
      <c r="BM35" s="403"/>
      <c r="BN35" s="403"/>
      <c r="BO35" s="615"/>
      <c r="BP35" s="250"/>
      <c r="BQ35" s="240"/>
      <c r="BR35" s="240"/>
      <c r="BS35" s="240"/>
      <c r="BT35" s="241"/>
      <c r="BU35" s="297"/>
      <c r="BV35" s="297"/>
      <c r="BW35" s="297"/>
      <c r="BX35" s="297"/>
      <c r="BY35" s="297"/>
      <c r="BZ35" s="297"/>
      <c r="CA35" s="297"/>
      <c r="CB35" s="297"/>
      <c r="CC35" s="297"/>
      <c r="CD35" s="297"/>
      <c r="CE35" s="297"/>
      <c r="CF35" s="297"/>
      <c r="CG35" s="297"/>
      <c r="CH35" s="297"/>
      <c r="CI35" s="297"/>
      <c r="CJ35" s="494" t="str">
        <f>CharacterSheet!$Q$18</f>
        <v>Special</v>
      </c>
      <c r="CK35" s="403"/>
      <c r="CL35" s="403"/>
      <c r="CM35" s="403"/>
      <c r="CN35" s="229">
        <f>IF(AND(T35=0,AR35=0,BP35=0,FB33=0,FK33=0,FT33=0,GC33=0,ES33=0,DemigodConversion!$AC30+DemigodConversion!$AF30&gt;0),1,0)</f>
        <v>0</v>
      </c>
      <c r="CO35" s="271">
        <f>IF(AND(U35=0,AS35=0,BQ35=0,FC33=0,FL33=0,FU33=0,GD33=0,ET33=0,DemigodConversion!$AC30+DemigodConversion!$AF30&gt;1),1,0)</f>
        <v>0</v>
      </c>
      <c r="CP35" s="271">
        <f>IF(AND(V35=0,AT35=0,BR35=0,FD33=0,FM33=0,FV33=0,GE33=0,EU33=0,DemigodConversion!$AC30+DemigodConversion!$AF30&gt;2),1,0)</f>
        <v>0</v>
      </c>
      <c r="CQ35" s="271">
        <f>IF(AND(W35=0,AU35=0,BS35=0,FE33=0,FN33=0,FW33=0,GF33=0,EV33=0,DemigodConversion!$AC30+DemigodConversion!$AF30&gt;3),1,0)</f>
        <v>0</v>
      </c>
      <c r="CR35" s="271">
        <f>IF(AND(X35=0,AV35=0,BT35=0,FF33=0,FO33=0,FX33=0,GG33=0,EW33=0,DemigodConversion!$AC30+DemigodConversion!$AF30&gt;4),1,0)</f>
        <v>0</v>
      </c>
      <c r="CS35" s="657"/>
      <c r="CT35" s="657"/>
      <c r="CU35" s="657"/>
      <c r="CV35" s="657"/>
      <c r="CW35" s="657"/>
      <c r="CX35" s="657"/>
      <c r="CY35" s="657"/>
      <c r="CZ35" s="657"/>
      <c r="DA35" s="657"/>
      <c r="DB35" s="657"/>
      <c r="DC35" s="657"/>
      <c r="DD35" s="657"/>
      <c r="DE35" s="657"/>
      <c r="DF35" s="657"/>
      <c r="DG35" s="657"/>
      <c r="DH35" s="494" t="str">
        <f>CharacterSheet!$Q$18</f>
        <v>Special</v>
      </c>
      <c r="DI35" s="403"/>
      <c r="DJ35" s="403"/>
      <c r="DK35" s="403"/>
      <c r="DL35" s="229">
        <f>IF(AND(T35=0,AR35=0,BP35=0,ES33=0,FB33=0,FK33=0,FT33=0,GC33=0,CN35=0,0&lt;GodConversion!$AC30+GodConversion!$AF30),1,0)</f>
        <v>0</v>
      </c>
      <c r="DM35" s="271">
        <f>IF(AND(U35=0,AS35=0,BQ35=0,ET33=0,FC33=0,FL33=0,FU33=0,GD33=0,CO35=0,1&lt;GodConversion!$AC30+GodConversion!$AF30),1,0)</f>
        <v>0</v>
      </c>
      <c r="DN35" s="271">
        <f>IF(AND(V35=0,AT35=0,BR35=0,EU33=0,FD33=0,FM33=0,FV33=0,GE33=0,CP35=0,2&lt;GodConversion!$AC30+GodConversion!$AF30),1,0)</f>
        <v>0</v>
      </c>
      <c r="DO35" s="271">
        <f>IF(AND(W35=0,AU35=0,BS35=0,EV33=0,FE33=0,FN33=0,FW33=0,GF33=0,CQ35=0,3&lt;GodConversion!$AC30+GodConversion!$AF30),1,0)</f>
        <v>0</v>
      </c>
      <c r="DP35" s="271">
        <f>IF(AND(X35=0,AV35=0,BT35=0,EW33=0,FF33=0,FO33=0,FX33=0,GG33=0,CR35=0,4&lt;GodConversion!$AC30+GodConversion!$AF30),1,0)</f>
        <v>0</v>
      </c>
      <c r="DQ35" s="324"/>
      <c r="DR35" s="324"/>
      <c r="DS35" s="324"/>
      <c r="DT35" s="324"/>
      <c r="DU35" s="324"/>
      <c r="DV35" s="324"/>
      <c r="DW35" s="324"/>
      <c r="DX35" s="324"/>
      <c r="DY35" s="324"/>
      <c r="DZ35" s="324"/>
      <c r="EA35" s="324"/>
      <c r="EB35" s="324"/>
      <c r="EC35" s="324"/>
      <c r="ED35" s="324"/>
      <c r="EE35" s="324"/>
      <c r="EF35" s="494" t="str">
        <f>CharacterSheet!$Q$18</f>
        <v>Special</v>
      </c>
      <c r="EG35" s="403"/>
      <c r="EH35" s="403"/>
      <c r="EI35" s="403"/>
      <c r="EJ35" s="198">
        <f t="shared" si="21"/>
        <v>0</v>
      </c>
      <c r="EK35" s="210">
        <f t="shared" si="12"/>
        <v>0</v>
      </c>
      <c r="EL35" s="210">
        <f t="shared" si="13"/>
        <v>0</v>
      </c>
      <c r="EM35" s="210">
        <f t="shared" si="14"/>
        <v>0</v>
      </c>
      <c r="EN35" s="210">
        <f t="shared" si="15"/>
        <v>0</v>
      </c>
      <c r="EO35" s="494" t="str">
        <f>CharacterSheet!$Q$20</f>
        <v>Special</v>
      </c>
      <c r="EP35" s="403"/>
      <c r="EQ35" s="403"/>
      <c r="ER35" s="615"/>
      <c r="ES35" s="239"/>
      <c r="ET35" s="240"/>
      <c r="EU35" s="240"/>
      <c r="EV35" s="240"/>
      <c r="EW35" s="240"/>
      <c r="EX35" s="494" t="str">
        <f>CharacterSheet!$Q$20</f>
        <v>Special</v>
      </c>
      <c r="EY35" s="403"/>
      <c r="EZ35" s="403"/>
      <c r="FA35" s="447"/>
      <c r="FB35" s="239"/>
      <c r="FC35" s="240"/>
      <c r="FD35" s="240"/>
      <c r="FE35" s="240"/>
      <c r="FF35" s="241"/>
      <c r="FG35" s="493" t="str">
        <f>CharacterSheet!$Q$20</f>
        <v>Special</v>
      </c>
      <c r="FH35" s="403"/>
      <c r="FI35" s="403"/>
      <c r="FJ35" s="615"/>
      <c r="FK35" s="239"/>
      <c r="FL35" s="240"/>
      <c r="FM35" s="240"/>
      <c r="FN35" s="240"/>
      <c r="FO35" s="241"/>
      <c r="FP35" s="494" t="str">
        <f>CharacterSheet!$Q$20</f>
        <v>Special</v>
      </c>
      <c r="FQ35" s="403"/>
      <c r="FR35" s="403"/>
      <c r="FS35" s="615"/>
      <c r="FT35" s="239"/>
      <c r="FU35" s="240"/>
      <c r="FV35" s="240"/>
      <c r="FW35" s="240"/>
      <c r="FX35" s="241"/>
      <c r="FY35" s="494" t="str">
        <f>CharacterSheet!$Q$20</f>
        <v>Special</v>
      </c>
      <c r="FZ35" s="403"/>
      <c r="GA35" s="403"/>
      <c r="GB35" s="615"/>
      <c r="GC35" s="239"/>
      <c r="GD35" s="240"/>
      <c r="GE35" s="240"/>
      <c r="GF35" s="240"/>
      <c r="GG35" s="241"/>
    </row>
    <row r="36" spans="1:189" ht="16.5" customHeight="1" thickBot="1" x14ac:dyDescent="0.3">
      <c r="A36" s="657"/>
      <c r="B36" s="657"/>
      <c r="C36" s="657"/>
      <c r="D36" s="657"/>
      <c r="E36" s="657"/>
      <c r="F36" s="657"/>
      <c r="G36" s="657"/>
      <c r="H36" s="657"/>
      <c r="I36" s="657"/>
      <c r="J36" s="657"/>
      <c r="K36" s="657"/>
      <c r="L36" s="657"/>
      <c r="M36" s="657"/>
      <c r="N36" s="657"/>
      <c r="O36" s="657"/>
      <c r="P36" s="494" t="str">
        <f>CharacterSheet!$Q$19</f>
        <v>Special</v>
      </c>
      <c r="Q36" s="403"/>
      <c r="R36" s="403"/>
      <c r="S36" s="403"/>
      <c r="T36" s="146">
        <f>IF(Creation!AC31+Creation!AF31&gt;0,1,0)</f>
        <v>0</v>
      </c>
      <c r="U36" s="146">
        <f>IF(Creation!AC31+Creation!AF31&gt;1,1,0)</f>
        <v>0</v>
      </c>
      <c r="V36" s="146">
        <f>IF(Creation!AC31+Creation!AF31&gt;2,1,0)</f>
        <v>0</v>
      </c>
      <c r="W36" s="146">
        <f>IF(Creation!AC31+Creation!AF31&gt;3,1,0)</f>
        <v>0</v>
      </c>
      <c r="X36" s="149">
        <f>IF(Creation!AC31+Creation!AF31&gt;4,1,0)</f>
        <v>0</v>
      </c>
      <c r="Y36" s="376"/>
      <c r="Z36" s="377"/>
      <c r="AA36" s="377"/>
      <c r="AB36" s="377"/>
      <c r="AC36" s="377"/>
      <c r="AD36" s="377"/>
      <c r="AE36" s="377"/>
      <c r="AF36" s="377"/>
      <c r="AG36" s="377"/>
      <c r="AH36" s="418"/>
      <c r="AI36" s="296"/>
      <c r="AJ36" s="297"/>
      <c r="AK36" s="297"/>
      <c r="AL36" s="297"/>
      <c r="AM36" s="297"/>
      <c r="AN36" s="494" t="str">
        <f>CharacterSheet!$Q$19</f>
        <v>Special</v>
      </c>
      <c r="AO36" s="403"/>
      <c r="AP36" s="403"/>
      <c r="AQ36" s="615"/>
      <c r="AR36" s="239"/>
      <c r="AS36" s="240"/>
      <c r="AT36" s="240"/>
      <c r="AU36" s="240"/>
      <c r="AV36" s="241"/>
      <c r="AW36" s="695"/>
      <c r="AX36" s="695"/>
      <c r="AY36" s="695"/>
      <c r="AZ36" s="695"/>
      <c r="BA36" s="695"/>
      <c r="BB36" s="695"/>
      <c r="BC36" s="695"/>
      <c r="BD36" s="695"/>
      <c r="BE36" s="695"/>
      <c r="BF36" s="695"/>
      <c r="BG36" s="695"/>
      <c r="BH36" s="695"/>
      <c r="BI36" s="695"/>
      <c r="BJ36" s="695"/>
      <c r="BK36" s="695"/>
      <c r="BL36" s="494" t="str">
        <f>CharacterSheet!$Q$19</f>
        <v>Special</v>
      </c>
      <c r="BM36" s="403"/>
      <c r="BN36" s="403"/>
      <c r="BO36" s="615"/>
      <c r="BP36" s="250"/>
      <c r="BQ36" s="240"/>
      <c r="BR36" s="240"/>
      <c r="BS36" s="240"/>
      <c r="BT36" s="241"/>
      <c r="BU36" s="297"/>
      <c r="BV36" s="297"/>
      <c r="BW36" s="297"/>
      <c r="BX36" s="297"/>
      <c r="BY36" s="297"/>
      <c r="BZ36" s="297"/>
      <c r="CA36" s="297"/>
      <c r="CB36" s="297"/>
      <c r="CC36" s="297"/>
      <c r="CD36" s="297"/>
      <c r="CE36" s="297"/>
      <c r="CF36" s="297"/>
      <c r="CG36" s="297"/>
      <c r="CH36" s="297"/>
      <c r="CI36" s="297"/>
      <c r="CJ36" s="494" t="str">
        <f>CharacterSheet!$Q$19</f>
        <v>Special</v>
      </c>
      <c r="CK36" s="403"/>
      <c r="CL36" s="403"/>
      <c r="CM36" s="403"/>
      <c r="CN36" s="229">
        <f>IF(AND(T36=0,AR36=0,BP36=0,FB34=0,FK34=0,FT34=0,GC34=0,ES34=0,DemigodConversion!$AC31+DemigodConversion!$AF31&gt;0),1,0)</f>
        <v>0</v>
      </c>
      <c r="CO36" s="271">
        <f>IF(AND(U36=0,AS36=0,BQ36=0,FC34=0,FL34=0,FU34=0,GD34=0,ET34=0,DemigodConversion!$AC31+DemigodConversion!$AF31&gt;1),1,0)</f>
        <v>0</v>
      </c>
      <c r="CP36" s="271">
        <f>IF(AND(V36=0,AT36=0,BR36=0,FD34=0,FM34=0,FV34=0,GE34=0,EU34=0,DemigodConversion!$AC31+DemigodConversion!$AF31&gt;2),1,0)</f>
        <v>0</v>
      </c>
      <c r="CQ36" s="271">
        <f>IF(AND(W36=0,AU36=0,BS36=0,FE34=0,FN34=0,FW34=0,GF34=0,EV34=0,DemigodConversion!$AC31+DemigodConversion!$AF31&gt;3),1,0)</f>
        <v>0</v>
      </c>
      <c r="CR36" s="271">
        <f>IF(AND(X36=0,AV36=0,BT36=0,FF34=0,FO34=0,FX34=0,GG34=0,EW34=0,DemigodConversion!$AC31+DemigodConversion!$AF31&gt;4),1,0)</f>
        <v>0</v>
      </c>
      <c r="CS36" s="657"/>
      <c r="CT36" s="657"/>
      <c r="CU36" s="657"/>
      <c r="CV36" s="657"/>
      <c r="CW36" s="657"/>
      <c r="CX36" s="657"/>
      <c r="CY36" s="657"/>
      <c r="CZ36" s="657"/>
      <c r="DA36" s="657"/>
      <c r="DB36" s="657"/>
      <c r="DC36" s="657"/>
      <c r="DD36" s="657"/>
      <c r="DE36" s="657"/>
      <c r="DF36" s="657"/>
      <c r="DG36" s="657"/>
      <c r="DH36" s="494" t="str">
        <f>CharacterSheet!$Q$19</f>
        <v>Special</v>
      </c>
      <c r="DI36" s="403"/>
      <c r="DJ36" s="403"/>
      <c r="DK36" s="403"/>
      <c r="DL36" s="229">
        <f>IF(AND(T36=0,AR36=0,BP36=0,ES34=0,FB34=0,FK34=0,FT34=0,GC34=0,CN36=0,0&lt;GodConversion!$AC31+GodConversion!$AF31),1,0)</f>
        <v>0</v>
      </c>
      <c r="DM36" s="271">
        <f>IF(AND(U36=0,AS36=0,BQ36=0,ET34=0,FC34=0,FL34=0,FU34=0,GD34=0,CO36=0,1&lt;GodConversion!$AC31+GodConversion!$AF31),1,0)</f>
        <v>0</v>
      </c>
      <c r="DN36" s="271">
        <f>IF(AND(V36=0,AT36=0,BR36=0,EU34=0,FD34=0,FM34=0,FV34=0,GE34=0,CP36=0,2&lt;GodConversion!$AC31+GodConversion!$AF31),1,0)</f>
        <v>0</v>
      </c>
      <c r="DO36" s="271">
        <f>IF(AND(W36=0,AU36=0,BS36=0,EV34=0,FE34=0,FN34=0,FW34=0,GF34=0,CQ36=0,3&lt;GodConversion!$AC31+GodConversion!$AF31),1,0)</f>
        <v>0</v>
      </c>
      <c r="DP36" s="271">
        <f>IF(AND(X36=0,AV36=0,BT36=0,EW34=0,FF34=0,FO34=0,FX34=0,GG34=0,CR36=0,4&lt;GodConversion!$AC31+GodConversion!$AF31),1,0)</f>
        <v>0</v>
      </c>
      <c r="DQ36" s="324"/>
      <c r="DR36" s="324"/>
      <c r="DS36" s="324"/>
      <c r="DT36" s="324"/>
      <c r="DU36" s="324"/>
      <c r="DV36" s="324"/>
      <c r="DW36" s="324"/>
      <c r="DX36" s="324"/>
      <c r="DY36" s="324"/>
      <c r="DZ36" s="324"/>
      <c r="EA36" s="324"/>
      <c r="EB36" s="324"/>
      <c r="EC36" s="324"/>
      <c r="ED36" s="324"/>
      <c r="EE36" s="324"/>
      <c r="EF36" s="494" t="str">
        <f>CharacterSheet!$Q$19</f>
        <v>Special</v>
      </c>
      <c r="EG36" s="403"/>
      <c r="EH36" s="403"/>
      <c r="EI36" s="403"/>
      <c r="EJ36" s="198">
        <f t="shared" si="21"/>
        <v>0</v>
      </c>
      <c r="EK36" s="210">
        <f t="shared" si="12"/>
        <v>0</v>
      </c>
      <c r="EL36" s="210">
        <f t="shared" si="13"/>
        <v>0</v>
      </c>
      <c r="EM36" s="210">
        <f t="shared" si="14"/>
        <v>0</v>
      </c>
      <c r="EN36" s="210">
        <f t="shared" si="15"/>
        <v>0</v>
      </c>
      <c r="EO36" s="469" t="str">
        <f>CharacterSheet!$Q$21</f>
        <v>Special</v>
      </c>
      <c r="EP36" s="414"/>
      <c r="EQ36" s="414"/>
      <c r="ER36" s="518"/>
      <c r="ES36" s="242"/>
      <c r="ET36" s="243"/>
      <c r="EU36" s="240"/>
      <c r="EV36" s="240"/>
      <c r="EW36" s="240"/>
      <c r="EX36" s="469" t="str">
        <f>CharacterSheet!$Q$21</f>
        <v>Special</v>
      </c>
      <c r="EY36" s="414"/>
      <c r="EZ36" s="414"/>
      <c r="FA36" s="650"/>
      <c r="FB36" s="242"/>
      <c r="FC36" s="243"/>
      <c r="FD36" s="243"/>
      <c r="FE36" s="243"/>
      <c r="FF36" s="244"/>
      <c r="FG36" s="645" t="str">
        <f>CharacterSheet!$Q$21</f>
        <v>Special</v>
      </c>
      <c r="FH36" s="414"/>
      <c r="FI36" s="414"/>
      <c r="FJ36" s="518"/>
      <c r="FK36" s="242"/>
      <c r="FL36" s="243"/>
      <c r="FM36" s="243"/>
      <c r="FN36" s="243"/>
      <c r="FO36" s="244"/>
      <c r="FP36" s="469" t="str">
        <f>CharacterSheet!$Q$21</f>
        <v>Special</v>
      </c>
      <c r="FQ36" s="414"/>
      <c r="FR36" s="414"/>
      <c r="FS36" s="518"/>
      <c r="FT36" s="242"/>
      <c r="FU36" s="243"/>
      <c r="FV36" s="243"/>
      <c r="FW36" s="243"/>
      <c r="FX36" s="244"/>
      <c r="FY36" s="469" t="str">
        <f>CharacterSheet!$Q$21</f>
        <v>Special</v>
      </c>
      <c r="FZ36" s="414"/>
      <c r="GA36" s="414"/>
      <c r="GB36" s="518"/>
      <c r="GC36" s="242"/>
      <c r="GD36" s="243"/>
      <c r="GE36" s="243"/>
      <c r="GF36" s="243"/>
      <c r="GG36" s="244"/>
    </row>
    <row r="37" spans="1:189" ht="15.75" customHeight="1" x14ac:dyDescent="0.25">
      <c r="A37" s="657"/>
      <c r="B37" s="657"/>
      <c r="C37" s="657"/>
      <c r="D37" s="657"/>
      <c r="E37" s="657"/>
      <c r="F37" s="657"/>
      <c r="G37" s="657"/>
      <c r="H37" s="657"/>
      <c r="I37" s="657"/>
      <c r="J37" s="657"/>
      <c r="K37" s="657"/>
      <c r="L37" s="657"/>
      <c r="M37" s="657"/>
      <c r="N37" s="657"/>
      <c r="O37" s="657"/>
      <c r="P37" s="494" t="str">
        <f>CharacterSheet!$Q$20</f>
        <v>Special</v>
      </c>
      <c r="Q37" s="403"/>
      <c r="R37" s="403"/>
      <c r="S37" s="403"/>
      <c r="T37" s="146">
        <f>IF(Creation!AC32+Creation!AF32&gt;0,1,0)</f>
        <v>0</v>
      </c>
      <c r="U37" s="146">
        <f>IF(Creation!AC32+Creation!AF32&gt;1,1,0)</f>
        <v>0</v>
      </c>
      <c r="V37" s="146">
        <f>IF(Creation!AC32+Creation!AF32&gt;2,1,0)</f>
        <v>0</v>
      </c>
      <c r="W37" s="146">
        <f>IF(Creation!AC32+Creation!AF32&gt;3,1,0)</f>
        <v>0</v>
      </c>
      <c r="X37" s="149">
        <f>IF(Creation!AC32+Creation!AF32&gt;4,1,0)</f>
        <v>0</v>
      </c>
      <c r="Y37" s="373" t="s">
        <v>32</v>
      </c>
      <c r="Z37" s="374"/>
      <c r="AA37" s="374"/>
      <c r="AB37" s="374"/>
      <c r="AC37" s="374"/>
      <c r="AD37" s="374"/>
      <c r="AE37" s="374">
        <f>AE35-AE33</f>
        <v>0</v>
      </c>
      <c r="AF37" s="374"/>
      <c r="AG37" s="374"/>
      <c r="AH37" s="375"/>
      <c r="AI37" s="296"/>
      <c r="AJ37" s="297"/>
      <c r="AK37" s="297"/>
      <c r="AL37" s="297"/>
      <c r="AM37" s="297"/>
      <c r="AN37" s="494" t="str">
        <f>CharacterSheet!$Q$20</f>
        <v>Special</v>
      </c>
      <c r="AO37" s="403"/>
      <c r="AP37" s="403"/>
      <c r="AQ37" s="615"/>
      <c r="AR37" s="239"/>
      <c r="AS37" s="240"/>
      <c r="AT37" s="240"/>
      <c r="AU37" s="240"/>
      <c r="AV37" s="241"/>
      <c r="AW37" s="695"/>
      <c r="AX37" s="695"/>
      <c r="AY37" s="695"/>
      <c r="AZ37" s="695"/>
      <c r="BA37" s="695"/>
      <c r="BB37" s="695"/>
      <c r="BC37" s="695"/>
      <c r="BD37" s="695"/>
      <c r="BE37" s="695"/>
      <c r="BF37" s="695"/>
      <c r="BG37" s="695"/>
      <c r="BH37" s="695"/>
      <c r="BI37" s="695"/>
      <c r="BJ37" s="695"/>
      <c r="BK37" s="695"/>
      <c r="BL37" s="494" t="str">
        <f>CharacterSheet!$Q$20</f>
        <v>Special</v>
      </c>
      <c r="BM37" s="403"/>
      <c r="BN37" s="403"/>
      <c r="BO37" s="615"/>
      <c r="BP37" s="250"/>
      <c r="BQ37" s="240"/>
      <c r="BR37" s="240"/>
      <c r="BS37" s="240"/>
      <c r="BT37" s="241"/>
      <c r="BU37" s="297"/>
      <c r="BV37" s="297"/>
      <c r="BW37" s="297"/>
      <c r="BX37" s="297"/>
      <c r="BY37" s="297"/>
      <c r="BZ37" s="297"/>
      <c r="CA37" s="297"/>
      <c r="CB37" s="297"/>
      <c r="CC37" s="297"/>
      <c r="CD37" s="297"/>
      <c r="CE37" s="297"/>
      <c r="CF37" s="297"/>
      <c r="CG37" s="297"/>
      <c r="CH37" s="297"/>
      <c r="CI37" s="297"/>
      <c r="CJ37" s="494" t="str">
        <f>CharacterSheet!$Q$20</f>
        <v>Special</v>
      </c>
      <c r="CK37" s="403"/>
      <c r="CL37" s="403"/>
      <c r="CM37" s="403"/>
      <c r="CN37" s="229">
        <f>IF(AND(T37=0,AR37=0,BP37=0,FB35=0,FK35=0,FT35=0,GC35=0,ES35=0,DemigodConversion!$AC32+DemigodConversion!$AF32&gt;0),1,0)</f>
        <v>0</v>
      </c>
      <c r="CO37" s="271">
        <f>IF(AND(U37=0,AS37=0,BQ37=0,FC35=0,FL35=0,FU35=0,GD35=0,ET35=0,DemigodConversion!$AC32+DemigodConversion!$AF32&gt;1),1,0)</f>
        <v>0</v>
      </c>
      <c r="CP37" s="271">
        <f>IF(AND(V37=0,AT37=0,BR37=0,FD35=0,FM35=0,FV35=0,GE35=0,EU35=0,DemigodConversion!$AC32+DemigodConversion!$AF32&gt;2),1,0)</f>
        <v>0</v>
      </c>
      <c r="CQ37" s="271">
        <f>IF(AND(W37=0,AU37=0,BS37=0,FE35=0,FN35=0,FW35=0,GF35=0,EV35=0,DemigodConversion!$AC32+DemigodConversion!$AF32&gt;3),1,0)</f>
        <v>0</v>
      </c>
      <c r="CR37" s="271">
        <f>IF(AND(X37=0,AV37=0,BT37=0,FF35=0,FO35=0,FX35=0,GG35=0,EW35=0,DemigodConversion!$AC32+DemigodConversion!$AF32&gt;4),1,0)</f>
        <v>0</v>
      </c>
      <c r="CS37" s="657"/>
      <c r="CT37" s="657"/>
      <c r="CU37" s="657"/>
      <c r="CV37" s="657"/>
      <c r="CW37" s="657"/>
      <c r="CX37" s="657"/>
      <c r="CY37" s="657"/>
      <c r="CZ37" s="657"/>
      <c r="DA37" s="657"/>
      <c r="DB37" s="657"/>
      <c r="DC37" s="657"/>
      <c r="DD37" s="657"/>
      <c r="DE37" s="657"/>
      <c r="DF37" s="657"/>
      <c r="DG37" s="657"/>
      <c r="DH37" s="494" t="str">
        <f>CharacterSheet!$Q$20</f>
        <v>Special</v>
      </c>
      <c r="DI37" s="403"/>
      <c r="DJ37" s="403"/>
      <c r="DK37" s="403"/>
      <c r="DL37" s="229">
        <f>IF(AND(T37=0,AR37=0,BP37=0,ES35=0,FB35=0,FK35=0,FT35=0,GC35=0,CN37=0,0&lt;GodConversion!$AC32+GodConversion!$AF32),1,0)</f>
        <v>0</v>
      </c>
      <c r="DM37" s="271">
        <f>IF(AND(U37=0,AS37=0,BQ37=0,ET35=0,FC35=0,FL35=0,FU35=0,GD35=0,CO37=0,1&lt;GodConversion!$AC32+GodConversion!$AF32),1,0)</f>
        <v>0</v>
      </c>
      <c r="DN37" s="271">
        <f>IF(AND(V37=0,AT37=0,BR37=0,EU35=0,FD35=0,FM35=0,FV35=0,GE35=0,CP37=0,2&lt;GodConversion!$AC32+GodConversion!$AF32),1,0)</f>
        <v>0</v>
      </c>
      <c r="DO37" s="271">
        <f>IF(AND(W37=0,AU37=0,BS37=0,EV35=0,FE35=0,FN35=0,FW35=0,GF35=0,CQ37=0,3&lt;GodConversion!$AC32+GodConversion!$AF32),1,0)</f>
        <v>0</v>
      </c>
      <c r="DP37" s="271">
        <f>IF(AND(X37=0,AV37=0,BT37=0,EW35=0,FF35=0,FO35=0,FX35=0,GG35=0,CR37=0,4&lt;GodConversion!$AC32+GodConversion!$AF32),1,0)</f>
        <v>0</v>
      </c>
      <c r="DQ37" s="324"/>
      <c r="DR37" s="324"/>
      <c r="DS37" s="324"/>
      <c r="DT37" s="324"/>
      <c r="DU37" s="324"/>
      <c r="DV37" s="324"/>
      <c r="DW37" s="324"/>
      <c r="DX37" s="324"/>
      <c r="DY37" s="324"/>
      <c r="DZ37" s="324"/>
      <c r="EA37" s="324"/>
      <c r="EB37" s="324"/>
      <c r="EC37" s="324"/>
      <c r="ED37" s="324"/>
      <c r="EE37" s="324"/>
      <c r="EF37" s="494" t="str">
        <f>CharacterSheet!$Q$20</f>
        <v>Special</v>
      </c>
      <c r="EG37" s="403"/>
      <c r="EH37" s="403"/>
      <c r="EI37" s="403"/>
      <c r="EJ37" s="198">
        <f t="shared" si="21"/>
        <v>0</v>
      </c>
      <c r="EK37" s="210">
        <f t="shared" si="12"/>
        <v>0</v>
      </c>
      <c r="EL37" s="210">
        <f t="shared" si="13"/>
        <v>0</v>
      </c>
      <c r="EM37" s="210">
        <f t="shared" si="14"/>
        <v>0</v>
      </c>
      <c r="EN37" s="210">
        <f t="shared" si="15"/>
        <v>0</v>
      </c>
      <c r="EO37" s="654"/>
      <c r="EP37" s="654"/>
      <c r="EQ37" s="654"/>
      <c r="ER37" s="654"/>
      <c r="ES37" s="654"/>
      <c r="ET37" s="654"/>
      <c r="EU37" s="654"/>
      <c r="EV37" s="654"/>
      <c r="EW37" s="654"/>
      <c r="EX37" s="654"/>
      <c r="EY37" s="654"/>
      <c r="EZ37" s="654"/>
      <c r="FA37" s="654"/>
      <c r="FB37" s="657"/>
      <c r="FC37" s="657"/>
      <c r="FD37" s="657"/>
      <c r="FE37" s="657"/>
      <c r="FF37" s="657"/>
      <c r="FG37" s="654"/>
      <c r="FH37" s="654"/>
      <c r="FI37" s="654"/>
      <c r="FJ37" s="654"/>
      <c r="FK37" s="654"/>
      <c r="FL37" s="654"/>
      <c r="FM37" s="654"/>
      <c r="FN37" s="654"/>
      <c r="FO37" s="654"/>
      <c r="FP37" s="654"/>
      <c r="FQ37" s="654"/>
      <c r="FR37" s="654"/>
      <c r="FS37" s="654"/>
      <c r="FT37" s="654"/>
      <c r="FU37" s="654"/>
      <c r="FV37" s="654"/>
      <c r="FW37" s="654"/>
      <c r="FX37" s="654"/>
      <c r="FY37" s="654"/>
      <c r="FZ37" s="654"/>
      <c r="GA37" s="654"/>
      <c r="GB37" s="654"/>
      <c r="GC37" s="654"/>
      <c r="GD37" s="654"/>
      <c r="GE37" s="654"/>
      <c r="GF37" s="654"/>
      <c r="GG37" s="654"/>
    </row>
    <row r="38" spans="1:189" ht="15.75" customHeight="1" thickBot="1" x14ac:dyDescent="0.3">
      <c r="A38" s="657"/>
      <c r="B38" s="657"/>
      <c r="C38" s="657"/>
      <c r="D38" s="657"/>
      <c r="E38" s="657"/>
      <c r="F38" s="657"/>
      <c r="G38" s="657"/>
      <c r="H38" s="657"/>
      <c r="I38" s="657"/>
      <c r="J38" s="657"/>
      <c r="K38" s="657"/>
      <c r="L38" s="657"/>
      <c r="M38" s="657"/>
      <c r="N38" s="657"/>
      <c r="O38" s="657"/>
      <c r="P38" s="469" t="str">
        <f>CharacterSheet!$Q$21</f>
        <v>Special</v>
      </c>
      <c r="Q38" s="414"/>
      <c r="R38" s="414"/>
      <c r="S38" s="414"/>
      <c r="T38" s="150">
        <f>IF(Creation!AC33+Creation!AF33&gt;0,1,0)</f>
        <v>0</v>
      </c>
      <c r="U38" s="150">
        <f>IF(Creation!AC33+Creation!AF33&gt;1,1,0)</f>
        <v>0</v>
      </c>
      <c r="V38" s="150">
        <f>IF(Creation!AC33+Creation!AF33&gt;2,1,0)</f>
        <v>0</v>
      </c>
      <c r="W38" s="150">
        <f>IF(Creation!AC33+Creation!AF33&gt;3,1,0)</f>
        <v>0</v>
      </c>
      <c r="X38" s="160">
        <f>IF(Creation!AC33+Creation!AF33&gt;4,1,0)</f>
        <v>0</v>
      </c>
      <c r="Y38" s="376"/>
      <c r="Z38" s="377"/>
      <c r="AA38" s="377"/>
      <c r="AB38" s="377"/>
      <c r="AC38" s="377"/>
      <c r="AD38" s="377"/>
      <c r="AE38" s="377"/>
      <c r="AF38" s="377"/>
      <c r="AG38" s="377"/>
      <c r="AH38" s="418"/>
      <c r="AI38" s="299"/>
      <c r="AJ38" s="300"/>
      <c r="AK38" s="300"/>
      <c r="AL38" s="300"/>
      <c r="AM38" s="300"/>
      <c r="AN38" s="469" t="str">
        <f>CharacterSheet!$Q$21</f>
        <v>Special</v>
      </c>
      <c r="AO38" s="414"/>
      <c r="AP38" s="414"/>
      <c r="AQ38" s="518"/>
      <c r="AR38" s="242"/>
      <c r="AS38" s="243"/>
      <c r="AT38" s="243"/>
      <c r="AU38" s="243"/>
      <c r="AV38" s="244"/>
      <c r="AW38" s="695"/>
      <c r="AX38" s="695"/>
      <c r="AY38" s="695"/>
      <c r="AZ38" s="695"/>
      <c r="BA38" s="695"/>
      <c r="BB38" s="695"/>
      <c r="BC38" s="695"/>
      <c r="BD38" s="695"/>
      <c r="BE38" s="695"/>
      <c r="BF38" s="695"/>
      <c r="BG38" s="695"/>
      <c r="BH38" s="695"/>
      <c r="BI38" s="695"/>
      <c r="BJ38" s="695"/>
      <c r="BK38" s="695"/>
      <c r="BL38" s="469" t="str">
        <f>CharacterSheet!$Q$21</f>
        <v>Special</v>
      </c>
      <c r="BM38" s="414"/>
      <c r="BN38" s="414"/>
      <c r="BO38" s="518"/>
      <c r="BP38" s="251"/>
      <c r="BQ38" s="243"/>
      <c r="BR38" s="243"/>
      <c r="BS38" s="243"/>
      <c r="BT38" s="244"/>
      <c r="BU38" s="297"/>
      <c r="BV38" s="297"/>
      <c r="BW38" s="297"/>
      <c r="BX38" s="297"/>
      <c r="BY38" s="297"/>
      <c r="BZ38" s="297"/>
      <c r="CA38" s="297"/>
      <c r="CB38" s="297"/>
      <c r="CC38" s="297"/>
      <c r="CD38" s="297"/>
      <c r="CE38" s="297"/>
      <c r="CF38" s="297"/>
      <c r="CG38" s="297"/>
      <c r="CH38" s="297"/>
      <c r="CI38" s="297"/>
      <c r="CJ38" s="469" t="str">
        <f>CharacterSheet!$Q$21</f>
        <v>Special</v>
      </c>
      <c r="CK38" s="414"/>
      <c r="CL38" s="414"/>
      <c r="CM38" s="414"/>
      <c r="CN38" s="229">
        <f>IF(AND(T38=0,AR38=0,BP38=0,FB36=0,FK36=0,FT36=0,GC36=0,ES36=0,DemigodConversion!$AC33+DemigodConversion!$AF33&gt;0),1,0)</f>
        <v>0</v>
      </c>
      <c r="CO38" s="271">
        <f>IF(AND(U38=0,AS38=0,BQ38=0,FC36=0,FL36=0,FU36=0,GD36=0,ET36=0,DemigodConversion!$AC33+DemigodConversion!$AF33&gt;1),1,0)</f>
        <v>0</v>
      </c>
      <c r="CP38" s="271">
        <f>IF(AND(V38=0,AT38=0,BR38=0,FD36=0,FM36=0,FV36=0,GE36=0,EU36=0,DemigodConversion!$AC33+DemigodConversion!$AF33&gt;2),1,0)</f>
        <v>0</v>
      </c>
      <c r="CQ38" s="271">
        <f>IF(AND(W38=0,AU38=0,BS38=0,FE36=0,FN36=0,FW36=0,GF36=0,EV36=0,DemigodConversion!$AC33+DemigodConversion!$AF33&gt;3),1,0)</f>
        <v>0</v>
      </c>
      <c r="CR38" s="271">
        <f>IF(AND(X38=0,AV38=0,BT38=0,FF36=0,FO36=0,FX36=0,GG36=0,EW36=0,DemigodConversion!$AC33+DemigodConversion!$AF33&gt;4),1,0)</f>
        <v>0</v>
      </c>
      <c r="CS38" s="657"/>
      <c r="CT38" s="657"/>
      <c r="CU38" s="657"/>
      <c r="CV38" s="657"/>
      <c r="CW38" s="657"/>
      <c r="CX38" s="657"/>
      <c r="CY38" s="657"/>
      <c r="CZ38" s="657"/>
      <c r="DA38" s="657"/>
      <c r="DB38" s="657"/>
      <c r="DC38" s="657"/>
      <c r="DD38" s="657"/>
      <c r="DE38" s="657"/>
      <c r="DF38" s="657"/>
      <c r="DG38" s="657"/>
      <c r="DH38" s="469" t="str">
        <f>CharacterSheet!$Q$21</f>
        <v>Special</v>
      </c>
      <c r="DI38" s="414"/>
      <c r="DJ38" s="414"/>
      <c r="DK38" s="414"/>
      <c r="DL38" s="229">
        <f>IF(AND(T38=0,AR38=0,BP38=0,ES36=0,FB36=0,FK36=0,FT36=0,GC36=0,CN38=0,0&lt;GodConversion!$AC33+GodConversion!$AF33),1,0)</f>
        <v>0</v>
      </c>
      <c r="DM38" s="271">
        <f>IF(AND(U38=0,AS38=0,BQ38=0,ET36=0,FC36=0,FL36=0,FU36=0,GD36=0,CO38=0,1&lt;GodConversion!$AC33+GodConversion!$AF33),1,0)</f>
        <v>0</v>
      </c>
      <c r="DN38" s="271">
        <f>IF(AND(V38=0,AT38=0,BR38=0,EU36=0,FD36=0,FM36=0,FV36=0,GE36=0,CP38=0,2&lt;GodConversion!$AC33+GodConversion!$AF33),1,0)</f>
        <v>0</v>
      </c>
      <c r="DO38" s="271">
        <f>IF(AND(W38=0,AU38=0,BS38=0,EV36=0,FE36=0,FN36=0,FW36=0,GF36=0,CQ38=0,3&lt;GodConversion!$AC33+GodConversion!$AF33),1,0)</f>
        <v>0</v>
      </c>
      <c r="DP38" s="271">
        <f>IF(AND(X38=0,AV38=0,BT38=0,EW36=0,FF36=0,FO36=0,FX36=0,GG36=0,CR38=0,4&lt;GodConversion!$AC33+GodConversion!$AF33),1,0)</f>
        <v>0</v>
      </c>
      <c r="DQ38" s="324"/>
      <c r="DR38" s="324"/>
      <c r="DS38" s="324"/>
      <c r="DT38" s="324"/>
      <c r="DU38" s="324"/>
      <c r="DV38" s="324"/>
      <c r="DW38" s="324"/>
      <c r="DX38" s="324"/>
      <c r="DY38" s="324"/>
      <c r="DZ38" s="324"/>
      <c r="EA38" s="324"/>
      <c r="EB38" s="324"/>
      <c r="EC38" s="324"/>
      <c r="ED38" s="324"/>
      <c r="EE38" s="324"/>
      <c r="EF38" s="469" t="str">
        <f>CharacterSheet!$Q$21</f>
        <v>Special</v>
      </c>
      <c r="EG38" s="414"/>
      <c r="EH38" s="414"/>
      <c r="EI38" s="414"/>
      <c r="EJ38" s="198">
        <f t="shared" si="21"/>
        <v>0</v>
      </c>
      <c r="EK38" s="210">
        <f t="shared" si="12"/>
        <v>0</v>
      </c>
      <c r="EL38" s="210">
        <f t="shared" si="13"/>
        <v>0</v>
      </c>
      <c r="EM38" s="210">
        <f t="shared" si="14"/>
        <v>0</v>
      </c>
      <c r="EN38" s="210">
        <f t="shared" si="15"/>
        <v>0</v>
      </c>
      <c r="EO38" s="657"/>
      <c r="EP38" s="657"/>
      <c r="EQ38" s="657"/>
      <c r="ER38" s="657"/>
      <c r="ES38" s="657"/>
      <c r="ET38" s="657"/>
      <c r="EU38" s="657"/>
      <c r="EV38" s="657"/>
      <c r="EW38" s="657"/>
      <c r="EX38" s="657"/>
      <c r="EY38" s="657"/>
      <c r="EZ38" s="657"/>
      <c r="FA38" s="657"/>
      <c r="FB38" s="657"/>
      <c r="FC38" s="657"/>
      <c r="FD38" s="657"/>
      <c r="FE38" s="657"/>
      <c r="FF38" s="657"/>
      <c r="FG38" s="657"/>
      <c r="FH38" s="657"/>
      <c r="FI38" s="657"/>
      <c r="FJ38" s="657"/>
      <c r="FK38" s="657"/>
      <c r="FL38" s="657"/>
      <c r="FM38" s="657"/>
      <c r="FN38" s="657"/>
      <c r="FO38" s="657"/>
      <c r="FP38" s="657"/>
      <c r="FQ38" s="657"/>
      <c r="FR38" s="657"/>
      <c r="FS38" s="657"/>
      <c r="FT38" s="657"/>
      <c r="FU38" s="657"/>
      <c r="FV38" s="657"/>
      <c r="FW38" s="657"/>
      <c r="FX38" s="657"/>
      <c r="FY38" s="657"/>
      <c r="FZ38" s="657"/>
      <c r="GA38" s="657"/>
      <c r="GB38" s="657"/>
      <c r="GC38" s="657"/>
      <c r="GD38" s="657"/>
      <c r="GE38" s="657"/>
      <c r="GF38" s="657"/>
      <c r="GG38" s="657"/>
    </row>
    <row r="39" spans="1:189" ht="15" customHeight="1" x14ac:dyDescent="0.25">
      <c r="A39" s="657"/>
      <c r="B39" s="657"/>
      <c r="C39" s="657"/>
      <c r="D39" s="657"/>
      <c r="E39" s="657"/>
      <c r="F39" s="657"/>
      <c r="G39" s="657"/>
      <c r="H39" s="657"/>
      <c r="I39" s="657"/>
      <c r="J39" s="657"/>
      <c r="K39" s="657"/>
      <c r="L39" s="657"/>
      <c r="M39" s="657"/>
      <c r="N39" s="657"/>
      <c r="O39" s="657"/>
      <c r="P39" s="657"/>
      <c r="Q39" s="657"/>
      <c r="R39" s="657"/>
      <c r="S39" s="657"/>
      <c r="T39" s="657"/>
      <c r="U39" s="657"/>
      <c r="V39" s="657"/>
      <c r="W39" s="657"/>
      <c r="X39" s="657"/>
      <c r="Y39" s="548" t="s">
        <v>499</v>
      </c>
      <c r="Z39" s="547"/>
      <c r="AA39" s="547"/>
      <c r="AB39" s="547"/>
      <c r="AC39" s="547"/>
      <c r="AD39" s="547"/>
      <c r="AE39" s="547"/>
      <c r="AF39" s="547"/>
      <c r="AG39" s="547"/>
      <c r="AH39" s="556"/>
      <c r="AI39" s="678" t="s">
        <v>71</v>
      </c>
      <c r="AJ39" s="526"/>
      <c r="AK39" s="526"/>
      <c r="AL39" s="163">
        <v>1</v>
      </c>
      <c r="AM39" s="163">
        <v>2</v>
      </c>
      <c r="AN39" s="121">
        <v>3</v>
      </c>
      <c r="AO39" s="121">
        <v>4</v>
      </c>
      <c r="AP39" s="121">
        <v>5</v>
      </c>
      <c r="AQ39" s="121">
        <v>6</v>
      </c>
      <c r="AR39" s="121">
        <v>7</v>
      </c>
      <c r="AS39" s="121">
        <v>8</v>
      </c>
      <c r="AT39" s="121">
        <v>9</v>
      </c>
      <c r="AU39" s="121">
        <v>10</v>
      </c>
      <c r="AV39" s="122">
        <v>11</v>
      </c>
      <c r="AW39" s="696"/>
      <c r="AX39" s="695"/>
      <c r="AY39" s="695"/>
      <c r="AZ39" s="695"/>
      <c r="BA39" s="695"/>
      <c r="BB39" s="695"/>
      <c r="BC39" s="695"/>
      <c r="BD39" s="695"/>
      <c r="BE39" s="695"/>
      <c r="BF39" s="695"/>
      <c r="BG39" s="695"/>
      <c r="BH39" s="695"/>
      <c r="BI39" s="695"/>
      <c r="BJ39" s="695"/>
      <c r="BK39" s="695"/>
      <c r="BL39" s="657"/>
      <c r="BM39" s="657"/>
      <c r="BN39" s="657"/>
      <c r="BO39" s="657"/>
      <c r="BP39" s="657"/>
      <c r="BQ39" s="657"/>
      <c r="BR39" s="657"/>
      <c r="BS39" s="657"/>
      <c r="BT39" s="658"/>
      <c r="BU39" s="296"/>
      <c r="BV39" s="297"/>
      <c r="BW39" s="297"/>
      <c r="BX39" s="297"/>
      <c r="BY39" s="297"/>
      <c r="BZ39" s="297"/>
      <c r="CA39" s="297"/>
      <c r="CB39" s="297"/>
      <c r="CC39" s="297"/>
      <c r="CD39" s="297"/>
      <c r="CE39" s="297"/>
      <c r="CF39" s="297"/>
      <c r="CG39" s="297"/>
      <c r="CH39" s="297"/>
      <c r="CI39" s="297"/>
      <c r="CJ39" s="657"/>
      <c r="CK39" s="657"/>
      <c r="CL39" s="657"/>
      <c r="CM39" s="657"/>
      <c r="CN39" s="657"/>
      <c r="CO39" s="657"/>
      <c r="CP39" s="657"/>
      <c r="CQ39" s="657"/>
      <c r="CR39" s="658"/>
      <c r="CS39" s="657"/>
      <c r="CT39" s="657"/>
      <c r="CU39" s="657"/>
      <c r="CV39" s="657"/>
      <c r="CW39" s="657"/>
      <c r="CX39" s="657"/>
      <c r="CY39" s="657"/>
      <c r="CZ39" s="657"/>
      <c r="DA39" s="657"/>
      <c r="DB39" s="657"/>
      <c r="DC39" s="657"/>
      <c r="DD39" s="657"/>
      <c r="DE39" s="657"/>
      <c r="DF39" s="657"/>
      <c r="DG39" s="657"/>
      <c r="DH39" s="657"/>
      <c r="DI39" s="657"/>
      <c r="DJ39" s="657"/>
      <c r="DK39" s="657"/>
      <c r="DL39" s="657"/>
      <c r="DM39" s="657"/>
      <c r="DN39" s="657"/>
      <c r="DO39" s="657"/>
      <c r="DP39" s="657"/>
      <c r="DQ39" s="548" t="s">
        <v>499</v>
      </c>
      <c r="DR39" s="547"/>
      <c r="DS39" s="547"/>
      <c r="DT39" s="547"/>
      <c r="DU39" s="547"/>
      <c r="DV39" s="547"/>
      <c r="DW39" s="547"/>
      <c r="DX39" s="547"/>
      <c r="DY39" s="547"/>
      <c r="DZ39" s="556"/>
      <c r="EA39" s="680" t="s">
        <v>71</v>
      </c>
      <c r="EB39" s="417"/>
      <c r="EC39" s="417"/>
      <c r="ED39" s="19">
        <v>1</v>
      </c>
      <c r="EE39" s="19">
        <v>2</v>
      </c>
      <c r="EF39" s="19">
        <v>3</v>
      </c>
      <c r="EG39" s="19">
        <v>4</v>
      </c>
      <c r="EH39" s="19">
        <v>5</v>
      </c>
      <c r="EI39" s="19">
        <v>6</v>
      </c>
      <c r="EJ39" s="19">
        <v>7</v>
      </c>
      <c r="EK39" s="19">
        <v>8</v>
      </c>
      <c r="EL39" s="19">
        <v>9</v>
      </c>
      <c r="EM39" s="19">
        <v>10</v>
      </c>
      <c r="EN39" s="20">
        <v>11</v>
      </c>
      <c r="EO39" s="657"/>
      <c r="EP39" s="657"/>
      <c r="EQ39" s="657"/>
      <c r="ER39" s="657"/>
      <c r="ES39" s="657"/>
      <c r="ET39" s="657"/>
      <c r="EU39" s="657"/>
      <c r="EV39" s="657"/>
      <c r="EW39" s="657"/>
      <c r="EX39" s="657"/>
      <c r="EY39" s="657"/>
      <c r="EZ39" s="657"/>
      <c r="FA39" s="657"/>
      <c r="FB39" s="657"/>
      <c r="FC39" s="657"/>
      <c r="FD39" s="657"/>
      <c r="FE39" s="657"/>
      <c r="FF39" s="657"/>
      <c r="FG39" s="657"/>
      <c r="FH39" s="657"/>
      <c r="FI39" s="657"/>
      <c r="FJ39" s="657"/>
      <c r="FK39" s="657"/>
      <c r="FL39" s="657"/>
      <c r="FM39" s="657"/>
      <c r="FN39" s="657"/>
      <c r="FO39" s="657"/>
      <c r="FP39" s="657"/>
      <c r="FQ39" s="657"/>
      <c r="FR39" s="657"/>
      <c r="FS39" s="657"/>
      <c r="FT39" s="657"/>
      <c r="FU39" s="657"/>
      <c r="FV39" s="657"/>
      <c r="FW39" s="657"/>
      <c r="FX39" s="657"/>
      <c r="FY39" s="657"/>
      <c r="FZ39" s="657"/>
      <c r="GA39" s="657"/>
      <c r="GB39" s="657"/>
      <c r="GC39" s="657"/>
      <c r="GD39" s="657"/>
      <c r="GE39" s="657"/>
      <c r="GF39" s="657"/>
      <c r="GG39" s="657"/>
    </row>
    <row r="40" spans="1:189" ht="15.75" thickBot="1" x14ac:dyDescent="0.3">
      <c r="A40" s="657"/>
      <c r="B40" s="657"/>
      <c r="C40" s="657"/>
      <c r="D40" s="657"/>
      <c r="E40" s="657"/>
      <c r="F40" s="657"/>
      <c r="G40" s="657"/>
      <c r="H40" s="657"/>
      <c r="I40" s="657"/>
      <c r="J40" s="657"/>
      <c r="K40" s="657"/>
      <c r="L40" s="657"/>
      <c r="M40" s="657"/>
      <c r="N40" s="657"/>
      <c r="O40" s="657"/>
      <c r="P40" s="657"/>
      <c r="Q40" s="657"/>
      <c r="R40" s="657"/>
      <c r="S40" s="657"/>
      <c r="T40" s="657"/>
      <c r="U40" s="657"/>
      <c r="V40" s="657"/>
      <c r="W40" s="657"/>
      <c r="X40" s="657"/>
      <c r="Y40" s="554"/>
      <c r="Z40" s="555"/>
      <c r="AA40" s="555"/>
      <c r="AB40" s="555"/>
      <c r="AC40" s="555"/>
      <c r="AD40" s="555"/>
      <c r="AE40" s="555"/>
      <c r="AF40" s="555"/>
      <c r="AG40" s="555"/>
      <c r="AH40" s="558"/>
      <c r="AI40" s="679" t="s">
        <v>81</v>
      </c>
      <c r="AJ40" s="434"/>
      <c r="AK40" s="434"/>
      <c r="AL40" s="252"/>
      <c r="AM40" s="252"/>
      <c r="AN40" s="252"/>
      <c r="AO40" s="252"/>
      <c r="AP40" s="252"/>
      <c r="AQ40" s="252"/>
      <c r="AR40" s="252"/>
      <c r="AS40" s="252"/>
      <c r="AT40" s="252"/>
      <c r="AU40" s="252"/>
      <c r="AV40" s="253"/>
      <c r="AW40" s="696"/>
      <c r="AX40" s="695"/>
      <c r="AY40" s="695"/>
      <c r="AZ40" s="695"/>
      <c r="BA40" s="695"/>
      <c r="BB40" s="695"/>
      <c r="BC40" s="695"/>
      <c r="BD40" s="695"/>
      <c r="BE40" s="695"/>
      <c r="BF40" s="695"/>
      <c r="BG40" s="695"/>
      <c r="BH40" s="695"/>
      <c r="BI40" s="695"/>
      <c r="BJ40" s="695"/>
      <c r="BK40" s="695"/>
      <c r="BL40" s="657"/>
      <c r="BM40" s="657"/>
      <c r="BN40" s="657"/>
      <c r="BO40" s="657"/>
      <c r="BP40" s="657"/>
      <c r="BQ40" s="657"/>
      <c r="BR40" s="657"/>
      <c r="BS40" s="657"/>
      <c r="BT40" s="658"/>
      <c r="BU40" s="296"/>
      <c r="BV40" s="297"/>
      <c r="BW40" s="297"/>
      <c r="BX40" s="297"/>
      <c r="BY40" s="297"/>
      <c r="BZ40" s="297"/>
      <c r="CA40" s="297"/>
      <c r="CB40" s="297"/>
      <c r="CC40" s="297"/>
      <c r="CD40" s="297"/>
      <c r="CE40" s="297"/>
      <c r="CF40" s="297"/>
      <c r="CG40" s="297"/>
      <c r="CH40" s="297"/>
      <c r="CI40" s="297"/>
      <c r="CJ40" s="657"/>
      <c r="CK40" s="657"/>
      <c r="CL40" s="657"/>
      <c r="CM40" s="657"/>
      <c r="CN40" s="657"/>
      <c r="CO40" s="657"/>
      <c r="CP40" s="657"/>
      <c r="CQ40" s="657"/>
      <c r="CR40" s="658"/>
      <c r="CS40" s="657"/>
      <c r="CT40" s="657"/>
      <c r="CU40" s="657"/>
      <c r="CV40" s="657"/>
      <c r="CW40" s="657"/>
      <c r="CX40" s="657"/>
      <c r="CY40" s="657"/>
      <c r="CZ40" s="657"/>
      <c r="DA40" s="657"/>
      <c r="DB40" s="657"/>
      <c r="DC40" s="657"/>
      <c r="DD40" s="657"/>
      <c r="DE40" s="657"/>
      <c r="DF40" s="657"/>
      <c r="DG40" s="657"/>
      <c r="DH40" s="657"/>
      <c r="DI40" s="657"/>
      <c r="DJ40" s="657"/>
      <c r="DK40" s="657"/>
      <c r="DL40" s="657"/>
      <c r="DM40" s="657"/>
      <c r="DN40" s="657"/>
      <c r="DO40" s="657"/>
      <c r="DP40" s="657"/>
      <c r="DQ40" s="554"/>
      <c r="DR40" s="555"/>
      <c r="DS40" s="555"/>
      <c r="DT40" s="555"/>
      <c r="DU40" s="555"/>
      <c r="DV40" s="555"/>
      <c r="DW40" s="555"/>
      <c r="DX40" s="555"/>
      <c r="DY40" s="555"/>
      <c r="DZ40" s="558"/>
      <c r="EA40" s="679" t="s">
        <v>33</v>
      </c>
      <c r="EB40" s="434"/>
      <c r="EC40" s="434"/>
      <c r="ED40" s="18">
        <f>ED39*AL40*4</f>
        <v>0</v>
      </c>
      <c r="EE40" s="18">
        <f>EE39*AM40*4</f>
        <v>0</v>
      </c>
      <c r="EF40" s="18">
        <f t="shared" ref="EF40:EN40" si="22">EF39*AN40*4</f>
        <v>0</v>
      </c>
      <c r="EG40" s="18">
        <f t="shared" si="22"/>
        <v>0</v>
      </c>
      <c r="EH40" s="18">
        <f t="shared" si="22"/>
        <v>0</v>
      </c>
      <c r="EI40" s="18">
        <f t="shared" si="22"/>
        <v>0</v>
      </c>
      <c r="EJ40" s="18">
        <f t="shared" si="22"/>
        <v>0</v>
      </c>
      <c r="EK40" s="18">
        <f t="shared" si="22"/>
        <v>0</v>
      </c>
      <c r="EL40" s="18">
        <f t="shared" si="22"/>
        <v>0</v>
      </c>
      <c r="EM40" s="18">
        <f t="shared" si="22"/>
        <v>0</v>
      </c>
      <c r="EN40" s="21">
        <f t="shared" si="22"/>
        <v>0</v>
      </c>
      <c r="EO40" s="657"/>
      <c r="EP40" s="657"/>
      <c r="EQ40" s="657"/>
      <c r="ER40" s="657"/>
      <c r="ES40" s="657"/>
      <c r="ET40" s="657"/>
      <c r="EU40" s="657"/>
      <c r="EV40" s="657"/>
      <c r="EW40" s="657"/>
      <c r="EX40" s="657"/>
      <c r="EY40" s="657"/>
      <c r="EZ40" s="657"/>
      <c r="FA40" s="657"/>
      <c r="FB40" s="657"/>
      <c r="FC40" s="657"/>
      <c r="FD40" s="657"/>
      <c r="FE40" s="657"/>
      <c r="FF40" s="657"/>
      <c r="FG40" s="657"/>
      <c r="FH40" s="657"/>
      <c r="FI40" s="657"/>
      <c r="FJ40" s="657"/>
      <c r="FK40" s="657"/>
      <c r="FL40" s="657"/>
      <c r="FM40" s="657"/>
      <c r="FN40" s="657"/>
      <c r="FO40" s="657"/>
      <c r="FP40" s="657"/>
      <c r="FQ40" s="657"/>
      <c r="FR40" s="657"/>
      <c r="FS40" s="657"/>
      <c r="FT40" s="657"/>
      <c r="FU40" s="657"/>
      <c r="FV40" s="657"/>
      <c r="FW40" s="657"/>
      <c r="FX40" s="657"/>
      <c r="FY40" s="657"/>
      <c r="FZ40" s="657"/>
      <c r="GA40" s="657"/>
      <c r="GB40" s="657"/>
      <c r="GC40" s="657"/>
      <c r="GD40" s="657"/>
      <c r="GE40" s="657"/>
      <c r="GF40" s="657"/>
      <c r="GG40" s="657"/>
    </row>
    <row r="41" spans="1:189" ht="15.75" customHeight="1" x14ac:dyDescent="0.25">
      <c r="A41" s="657"/>
      <c r="B41" s="657"/>
      <c r="C41" s="657"/>
      <c r="D41" s="657"/>
      <c r="E41" s="657"/>
      <c r="F41" s="657"/>
      <c r="G41" s="657"/>
      <c r="H41" s="657"/>
      <c r="I41" s="657"/>
      <c r="J41" s="657"/>
      <c r="K41" s="657"/>
      <c r="L41" s="657"/>
      <c r="M41" s="657"/>
      <c r="N41" s="657"/>
      <c r="O41" s="657"/>
      <c r="P41" s="657"/>
      <c r="Q41" s="657"/>
      <c r="R41" s="657"/>
      <c r="S41" s="657"/>
      <c r="T41" s="657"/>
      <c r="U41" s="657"/>
      <c r="V41" s="657"/>
      <c r="W41" s="657"/>
      <c r="X41" s="657"/>
      <c r="Y41" s="548" t="s">
        <v>501</v>
      </c>
      <c r="Z41" s="547"/>
      <c r="AA41" s="547"/>
      <c r="AB41" s="547"/>
      <c r="AC41" s="547"/>
      <c r="AD41" s="547"/>
      <c r="AE41" s="547"/>
      <c r="AF41" s="547"/>
      <c r="AG41" s="547"/>
      <c r="AH41" s="556"/>
      <c r="AI41" s="680" t="s">
        <v>71</v>
      </c>
      <c r="AJ41" s="417"/>
      <c r="AK41" s="417"/>
      <c r="AL41" s="163">
        <v>1</v>
      </c>
      <c r="AM41" s="163">
        <v>2</v>
      </c>
      <c r="AN41" s="163">
        <v>3</v>
      </c>
      <c r="AO41" s="163">
        <v>4</v>
      </c>
      <c r="AP41" s="163">
        <v>5</v>
      </c>
      <c r="AQ41" s="163">
        <v>6</v>
      </c>
      <c r="AR41" s="163">
        <v>7</v>
      </c>
      <c r="AS41" s="163">
        <v>8</v>
      </c>
      <c r="AT41" s="163">
        <v>9</v>
      </c>
      <c r="AU41" s="163">
        <v>10</v>
      </c>
      <c r="AV41" s="52">
        <v>11</v>
      </c>
      <c r="AW41" s="696"/>
      <c r="AX41" s="695"/>
      <c r="AY41" s="695"/>
      <c r="AZ41" s="695"/>
      <c r="BA41" s="695"/>
      <c r="BB41" s="695"/>
      <c r="BC41" s="695"/>
      <c r="BD41" s="695"/>
      <c r="BE41" s="695"/>
      <c r="BF41" s="695"/>
      <c r="BG41" s="695"/>
      <c r="BH41" s="695"/>
      <c r="BI41" s="695"/>
      <c r="BJ41" s="695"/>
      <c r="BK41" s="695"/>
      <c r="BL41" s="657"/>
      <c r="BM41" s="657"/>
      <c r="BN41" s="657"/>
      <c r="BO41" s="657"/>
      <c r="BP41" s="657"/>
      <c r="BQ41" s="657"/>
      <c r="BR41" s="657"/>
      <c r="BS41" s="657"/>
      <c r="BT41" s="658"/>
      <c r="BU41" s="296"/>
      <c r="BV41" s="297"/>
      <c r="BW41" s="297"/>
      <c r="BX41" s="297"/>
      <c r="BY41" s="297"/>
      <c r="BZ41" s="297"/>
      <c r="CA41" s="297"/>
      <c r="CB41" s="297"/>
      <c r="CC41" s="297"/>
      <c r="CD41" s="297"/>
      <c r="CE41" s="297"/>
      <c r="CF41" s="297"/>
      <c r="CG41" s="297"/>
      <c r="CH41" s="297"/>
      <c r="CI41" s="297"/>
      <c r="CJ41" s="657"/>
      <c r="CK41" s="657"/>
      <c r="CL41" s="657"/>
      <c r="CM41" s="657"/>
      <c r="CN41" s="657"/>
      <c r="CO41" s="657"/>
      <c r="CP41" s="657"/>
      <c r="CQ41" s="657"/>
      <c r="CR41" s="658"/>
      <c r="CS41" s="657"/>
      <c r="CT41" s="657"/>
      <c r="CU41" s="657"/>
      <c r="CV41" s="657"/>
      <c r="CW41" s="657"/>
      <c r="CX41" s="657"/>
      <c r="CY41" s="657"/>
      <c r="CZ41" s="657"/>
      <c r="DA41" s="657"/>
      <c r="DB41" s="657"/>
      <c r="DC41" s="657"/>
      <c r="DD41" s="657"/>
      <c r="DE41" s="657"/>
      <c r="DF41" s="657"/>
      <c r="DG41" s="657"/>
      <c r="DH41" s="657"/>
      <c r="DI41" s="657"/>
      <c r="DJ41" s="657"/>
      <c r="DK41" s="657"/>
      <c r="DL41" s="657"/>
      <c r="DM41" s="657"/>
      <c r="DN41" s="657"/>
      <c r="DO41" s="657"/>
      <c r="DP41" s="657"/>
      <c r="DQ41" s="548" t="s">
        <v>501</v>
      </c>
      <c r="DR41" s="547"/>
      <c r="DS41" s="547"/>
      <c r="DT41" s="547"/>
      <c r="DU41" s="547"/>
      <c r="DV41" s="547"/>
      <c r="DW41" s="547"/>
      <c r="DX41" s="547"/>
      <c r="DY41" s="547"/>
      <c r="DZ41" s="556"/>
      <c r="EA41" s="680" t="s">
        <v>71</v>
      </c>
      <c r="EB41" s="417"/>
      <c r="EC41" s="417"/>
      <c r="ED41" s="19">
        <v>1</v>
      </c>
      <c r="EE41" s="19">
        <v>2</v>
      </c>
      <c r="EF41" s="19">
        <v>3</v>
      </c>
      <c r="EG41" s="19">
        <v>4</v>
      </c>
      <c r="EH41" s="19">
        <v>5</v>
      </c>
      <c r="EI41" s="19">
        <v>6</v>
      </c>
      <c r="EJ41" s="19">
        <v>7</v>
      </c>
      <c r="EK41" s="19">
        <v>8</v>
      </c>
      <c r="EL41" s="19">
        <v>9</v>
      </c>
      <c r="EM41" s="19">
        <v>10</v>
      </c>
      <c r="EN41" s="20">
        <v>11</v>
      </c>
      <c r="EO41" s="657"/>
      <c r="EP41" s="657"/>
      <c r="EQ41" s="657"/>
      <c r="ER41" s="657"/>
      <c r="ES41" s="657"/>
      <c r="ET41" s="657"/>
      <c r="EU41" s="657"/>
      <c r="EV41" s="657"/>
      <c r="EW41" s="657"/>
      <c r="EX41" s="657"/>
      <c r="EY41" s="657"/>
      <c r="EZ41" s="657"/>
      <c r="FA41" s="657"/>
      <c r="FB41" s="657"/>
      <c r="FC41" s="657"/>
      <c r="FD41" s="657"/>
      <c r="FE41" s="657"/>
      <c r="FF41" s="657"/>
      <c r="FG41" s="657"/>
      <c r="FH41" s="657"/>
      <c r="FI41" s="657"/>
      <c r="FJ41" s="657"/>
      <c r="FK41" s="657"/>
      <c r="FL41" s="657"/>
      <c r="FM41" s="657"/>
      <c r="FN41" s="657"/>
      <c r="FO41" s="657"/>
      <c r="FP41" s="657"/>
      <c r="FQ41" s="657"/>
      <c r="FR41" s="657"/>
      <c r="FS41" s="657"/>
      <c r="FT41" s="657"/>
      <c r="FU41" s="657"/>
      <c r="FV41" s="657"/>
      <c r="FW41" s="657"/>
      <c r="FX41" s="657"/>
      <c r="FY41" s="657"/>
      <c r="FZ41" s="657"/>
      <c r="GA41" s="657"/>
      <c r="GB41" s="657"/>
      <c r="GC41" s="657"/>
      <c r="GD41" s="657"/>
      <c r="GE41" s="657"/>
      <c r="GF41" s="657"/>
      <c r="GG41" s="657"/>
    </row>
    <row r="42" spans="1:189" ht="15" customHeight="1" thickBot="1" x14ac:dyDescent="0.3">
      <c r="A42" s="657"/>
      <c r="B42" s="657"/>
      <c r="C42" s="657"/>
      <c r="D42" s="657"/>
      <c r="E42" s="657"/>
      <c r="F42" s="657"/>
      <c r="G42" s="657"/>
      <c r="H42" s="657"/>
      <c r="I42" s="657"/>
      <c r="J42" s="657"/>
      <c r="K42" s="657"/>
      <c r="L42" s="657"/>
      <c r="M42" s="657"/>
      <c r="N42" s="657"/>
      <c r="O42" s="657"/>
      <c r="P42" s="657"/>
      <c r="Q42" s="657"/>
      <c r="R42" s="657"/>
      <c r="S42" s="657"/>
      <c r="T42" s="657"/>
      <c r="U42" s="657"/>
      <c r="V42" s="657"/>
      <c r="W42" s="657"/>
      <c r="X42" s="657"/>
      <c r="Y42" s="554"/>
      <c r="Z42" s="555"/>
      <c r="AA42" s="555"/>
      <c r="AB42" s="555"/>
      <c r="AC42" s="555"/>
      <c r="AD42" s="555"/>
      <c r="AE42" s="555"/>
      <c r="AF42" s="555"/>
      <c r="AG42" s="555"/>
      <c r="AH42" s="558"/>
      <c r="AI42" s="679" t="s">
        <v>81</v>
      </c>
      <c r="AJ42" s="434"/>
      <c r="AK42" s="434"/>
      <c r="AL42" s="252"/>
      <c r="AM42" s="252"/>
      <c r="AN42" s="252"/>
      <c r="AO42" s="252"/>
      <c r="AP42" s="252"/>
      <c r="AQ42" s="252"/>
      <c r="AR42" s="252"/>
      <c r="AS42" s="252"/>
      <c r="AT42" s="252"/>
      <c r="AU42" s="252"/>
      <c r="AV42" s="253"/>
      <c r="AW42" s="696"/>
      <c r="AX42" s="695"/>
      <c r="AY42" s="695"/>
      <c r="AZ42" s="695"/>
      <c r="BA42" s="695"/>
      <c r="BB42" s="695"/>
      <c r="BC42" s="695"/>
      <c r="BD42" s="695"/>
      <c r="BE42" s="695"/>
      <c r="BF42" s="695"/>
      <c r="BG42" s="695"/>
      <c r="BH42" s="695"/>
      <c r="BI42" s="695"/>
      <c r="BJ42" s="695"/>
      <c r="BK42" s="695"/>
      <c r="BL42" s="657"/>
      <c r="BM42" s="657"/>
      <c r="BN42" s="657"/>
      <c r="BO42" s="657"/>
      <c r="BP42" s="657"/>
      <c r="BQ42" s="657"/>
      <c r="BR42" s="657"/>
      <c r="BS42" s="657"/>
      <c r="BT42" s="658"/>
      <c r="BU42" s="296"/>
      <c r="BV42" s="297"/>
      <c r="BW42" s="297"/>
      <c r="BX42" s="297"/>
      <c r="BY42" s="297"/>
      <c r="BZ42" s="297"/>
      <c r="CA42" s="297"/>
      <c r="CB42" s="297"/>
      <c r="CC42" s="297"/>
      <c r="CD42" s="297"/>
      <c r="CE42" s="297"/>
      <c r="CF42" s="297"/>
      <c r="CG42" s="297"/>
      <c r="CH42" s="297"/>
      <c r="CI42" s="297"/>
      <c r="CJ42" s="657"/>
      <c r="CK42" s="657"/>
      <c r="CL42" s="657"/>
      <c r="CM42" s="657"/>
      <c r="CN42" s="657"/>
      <c r="CO42" s="657"/>
      <c r="CP42" s="657"/>
      <c r="CQ42" s="657"/>
      <c r="CR42" s="658"/>
      <c r="CS42" s="657"/>
      <c r="CT42" s="657"/>
      <c r="CU42" s="657"/>
      <c r="CV42" s="657"/>
      <c r="CW42" s="657"/>
      <c r="CX42" s="657"/>
      <c r="CY42" s="657"/>
      <c r="CZ42" s="657"/>
      <c r="DA42" s="657"/>
      <c r="DB42" s="657"/>
      <c r="DC42" s="657"/>
      <c r="DD42" s="657"/>
      <c r="DE42" s="657"/>
      <c r="DF42" s="657"/>
      <c r="DG42" s="657"/>
      <c r="DH42" s="657"/>
      <c r="DI42" s="657"/>
      <c r="DJ42" s="657"/>
      <c r="DK42" s="657"/>
      <c r="DL42" s="657"/>
      <c r="DM42" s="657"/>
      <c r="DN42" s="657"/>
      <c r="DO42" s="657"/>
      <c r="DP42" s="657"/>
      <c r="DQ42" s="554"/>
      <c r="DR42" s="555"/>
      <c r="DS42" s="555"/>
      <c r="DT42" s="555"/>
      <c r="DU42" s="555"/>
      <c r="DV42" s="555"/>
      <c r="DW42" s="555"/>
      <c r="DX42" s="555"/>
      <c r="DY42" s="555"/>
      <c r="DZ42" s="558"/>
      <c r="EA42" s="679" t="s">
        <v>33</v>
      </c>
      <c r="EB42" s="434"/>
      <c r="EC42" s="434"/>
      <c r="ED42" s="18">
        <f>ED41*AL42*5</f>
        <v>0</v>
      </c>
      <c r="EE42" s="18">
        <f t="shared" ref="EE42" si="23">EE41*AM42*5</f>
        <v>0</v>
      </c>
      <c r="EF42" s="18">
        <f t="shared" ref="EF42" si="24">EF41*AN42*5</f>
        <v>0</v>
      </c>
      <c r="EG42" s="18">
        <f t="shared" ref="EG42" si="25">EG41*AO42*5</f>
        <v>0</v>
      </c>
      <c r="EH42" s="18">
        <f t="shared" ref="EH42" si="26">EH41*AP42*5</f>
        <v>0</v>
      </c>
      <c r="EI42" s="18">
        <f t="shared" ref="EI42" si="27">EI41*AQ42*5</f>
        <v>0</v>
      </c>
      <c r="EJ42" s="18">
        <f t="shared" ref="EJ42" si="28">EJ41*AR42*5</f>
        <v>0</v>
      </c>
      <c r="EK42" s="18">
        <f t="shared" ref="EK42" si="29">EK41*AS42*5</f>
        <v>0</v>
      </c>
      <c r="EL42" s="18">
        <f t="shared" ref="EL42" si="30">EL41*AT42*5</f>
        <v>0</v>
      </c>
      <c r="EM42" s="18">
        <f t="shared" ref="EM42" si="31">EM41*AU42*5</f>
        <v>0</v>
      </c>
      <c r="EN42" s="21">
        <f t="shared" ref="EN42" si="32">EN41*AV42*5</f>
        <v>0</v>
      </c>
      <c r="EO42" s="657"/>
      <c r="EP42" s="657"/>
      <c r="EQ42" s="657"/>
      <c r="ER42" s="657"/>
      <c r="ES42" s="657"/>
      <c r="ET42" s="657"/>
      <c r="EU42" s="657"/>
      <c r="EV42" s="657"/>
      <c r="EW42" s="657"/>
      <c r="EX42" s="657"/>
      <c r="EY42" s="657"/>
      <c r="EZ42" s="657"/>
      <c r="FA42" s="657"/>
      <c r="FB42" s="657"/>
      <c r="FC42" s="657"/>
      <c r="FD42" s="657"/>
      <c r="FE42" s="657"/>
      <c r="FF42" s="657"/>
      <c r="FG42" s="657"/>
      <c r="FH42" s="657"/>
      <c r="FI42" s="657"/>
      <c r="FJ42" s="657"/>
      <c r="FK42" s="657"/>
      <c r="FL42" s="657"/>
      <c r="FM42" s="657"/>
      <c r="FN42" s="657"/>
      <c r="FO42" s="657"/>
      <c r="FP42" s="657"/>
      <c r="FQ42" s="657"/>
      <c r="FR42" s="657"/>
      <c r="FS42" s="657"/>
      <c r="FT42" s="657"/>
      <c r="FU42" s="657"/>
      <c r="FV42" s="657"/>
      <c r="FW42" s="657"/>
      <c r="FX42" s="657"/>
      <c r="FY42" s="657"/>
      <c r="FZ42" s="657"/>
      <c r="GA42" s="657"/>
      <c r="GB42" s="657"/>
      <c r="GC42" s="657"/>
      <c r="GD42" s="657"/>
      <c r="GE42" s="657"/>
      <c r="GF42" s="657"/>
      <c r="GG42" s="657"/>
    </row>
    <row r="43" spans="1:189" ht="15" customHeight="1" x14ac:dyDescent="0.25">
      <c r="A43" s="657"/>
      <c r="B43" s="657"/>
      <c r="C43" s="657"/>
      <c r="D43" s="657"/>
      <c r="E43" s="657"/>
      <c r="F43" s="657"/>
      <c r="G43" s="657"/>
      <c r="H43" s="657"/>
      <c r="I43" s="657"/>
      <c r="J43" s="657"/>
      <c r="K43" s="657"/>
      <c r="L43" s="657"/>
      <c r="M43" s="657"/>
      <c r="N43" s="657"/>
      <c r="O43" s="657"/>
      <c r="P43" s="657"/>
      <c r="Q43" s="657"/>
      <c r="R43" s="657"/>
      <c r="S43" s="657"/>
      <c r="T43" s="657"/>
      <c r="U43" s="657"/>
      <c r="V43" s="657"/>
      <c r="W43" s="657"/>
      <c r="X43" s="657"/>
      <c r="Y43" s="548" t="s">
        <v>502</v>
      </c>
      <c r="Z43" s="547"/>
      <c r="AA43" s="547"/>
      <c r="AB43" s="547"/>
      <c r="AC43" s="547"/>
      <c r="AD43" s="547"/>
      <c r="AE43" s="547"/>
      <c r="AF43" s="547"/>
      <c r="AG43" s="547"/>
      <c r="AH43" s="556"/>
      <c r="AI43" s="680" t="s">
        <v>71</v>
      </c>
      <c r="AJ43" s="417"/>
      <c r="AK43" s="417"/>
      <c r="AL43" s="163">
        <v>1</v>
      </c>
      <c r="AM43" s="163">
        <v>2</v>
      </c>
      <c r="AN43" s="163">
        <v>3</v>
      </c>
      <c r="AO43" s="163">
        <v>4</v>
      </c>
      <c r="AP43" s="163">
        <v>5</v>
      </c>
      <c r="AQ43" s="163">
        <v>6</v>
      </c>
      <c r="AR43" s="163">
        <v>7</v>
      </c>
      <c r="AS43" s="163">
        <v>8</v>
      </c>
      <c r="AT43" s="163">
        <v>9</v>
      </c>
      <c r="AU43" s="163">
        <v>10</v>
      </c>
      <c r="AV43" s="52">
        <v>11</v>
      </c>
      <c r="AW43" s="696"/>
      <c r="AX43" s="695"/>
      <c r="AY43" s="695"/>
      <c r="AZ43" s="695"/>
      <c r="BA43" s="695"/>
      <c r="BB43" s="695"/>
      <c r="BC43" s="695"/>
      <c r="BD43" s="695"/>
      <c r="BE43" s="695"/>
      <c r="BF43" s="695"/>
      <c r="BG43" s="695"/>
      <c r="BH43" s="695"/>
      <c r="BI43" s="695"/>
      <c r="BJ43" s="695"/>
      <c r="BK43" s="695"/>
      <c r="BL43" s="657"/>
      <c r="BM43" s="657"/>
      <c r="BN43" s="657"/>
      <c r="BO43" s="657"/>
      <c r="BP43" s="657"/>
      <c r="BQ43" s="657"/>
      <c r="BR43" s="657"/>
      <c r="BS43" s="657"/>
      <c r="BT43" s="658"/>
      <c r="BU43" s="296"/>
      <c r="BV43" s="297"/>
      <c r="BW43" s="297"/>
      <c r="BX43" s="297"/>
      <c r="BY43" s="297"/>
      <c r="BZ43" s="297"/>
      <c r="CA43" s="297"/>
      <c r="CB43" s="297"/>
      <c r="CC43" s="297"/>
      <c r="CD43" s="297"/>
      <c r="CE43" s="297"/>
      <c r="CF43" s="297"/>
      <c r="CG43" s="297"/>
      <c r="CH43" s="297"/>
      <c r="CI43" s="297"/>
      <c r="CJ43" s="657"/>
      <c r="CK43" s="657"/>
      <c r="CL43" s="657"/>
      <c r="CM43" s="657"/>
      <c r="CN43" s="657"/>
      <c r="CO43" s="657"/>
      <c r="CP43" s="657"/>
      <c r="CQ43" s="657"/>
      <c r="CR43" s="658"/>
      <c r="CS43" s="657"/>
      <c r="CT43" s="657"/>
      <c r="CU43" s="657"/>
      <c r="CV43" s="657"/>
      <c r="CW43" s="657"/>
      <c r="CX43" s="657"/>
      <c r="CY43" s="657"/>
      <c r="CZ43" s="657"/>
      <c r="DA43" s="657"/>
      <c r="DB43" s="657"/>
      <c r="DC43" s="657"/>
      <c r="DD43" s="657"/>
      <c r="DE43" s="657"/>
      <c r="DF43" s="657"/>
      <c r="DG43" s="657"/>
      <c r="DH43" s="657"/>
      <c r="DI43" s="657"/>
      <c r="DJ43" s="657"/>
      <c r="DK43" s="657"/>
      <c r="DL43" s="657"/>
      <c r="DM43" s="657"/>
      <c r="DN43" s="657"/>
      <c r="DO43" s="657"/>
      <c r="DP43" s="657"/>
      <c r="DQ43" s="548" t="s">
        <v>502</v>
      </c>
      <c r="DR43" s="547"/>
      <c r="DS43" s="547"/>
      <c r="DT43" s="547"/>
      <c r="DU43" s="547"/>
      <c r="DV43" s="547"/>
      <c r="DW43" s="547"/>
      <c r="DX43" s="547"/>
      <c r="DY43" s="547"/>
      <c r="DZ43" s="556"/>
      <c r="EA43" s="680" t="s">
        <v>71</v>
      </c>
      <c r="EB43" s="417"/>
      <c r="EC43" s="417"/>
      <c r="ED43" s="19">
        <v>1</v>
      </c>
      <c r="EE43" s="19">
        <v>2</v>
      </c>
      <c r="EF43" s="19">
        <v>3</v>
      </c>
      <c r="EG43" s="19">
        <v>4</v>
      </c>
      <c r="EH43" s="19">
        <v>5</v>
      </c>
      <c r="EI43" s="19">
        <v>6</v>
      </c>
      <c r="EJ43" s="19">
        <v>7</v>
      </c>
      <c r="EK43" s="19">
        <v>8</v>
      </c>
      <c r="EL43" s="19">
        <v>9</v>
      </c>
      <c r="EM43" s="19">
        <v>10</v>
      </c>
      <c r="EN43" s="20">
        <v>11</v>
      </c>
      <c r="EO43" s="657"/>
      <c r="EP43" s="657"/>
      <c r="EQ43" s="657"/>
      <c r="ER43" s="657"/>
      <c r="ES43" s="657"/>
      <c r="ET43" s="657"/>
      <c r="EU43" s="657"/>
      <c r="EV43" s="657"/>
      <c r="EW43" s="657"/>
      <c r="EX43" s="657"/>
      <c r="EY43" s="657"/>
      <c r="EZ43" s="657"/>
      <c r="FA43" s="657"/>
      <c r="FB43" s="657"/>
      <c r="FC43" s="657"/>
      <c r="FD43" s="657"/>
      <c r="FE43" s="657"/>
      <c r="FF43" s="657"/>
      <c r="FG43" s="657"/>
      <c r="FH43" s="657"/>
      <c r="FI43" s="657"/>
      <c r="FJ43" s="657"/>
      <c r="FK43" s="657"/>
      <c r="FL43" s="657"/>
      <c r="FM43" s="657"/>
      <c r="FN43" s="657"/>
      <c r="FO43" s="657"/>
      <c r="FP43" s="657"/>
      <c r="FQ43" s="657"/>
      <c r="FR43" s="657"/>
      <c r="FS43" s="657"/>
      <c r="FT43" s="657"/>
      <c r="FU43" s="657"/>
      <c r="FV43" s="657"/>
      <c r="FW43" s="657"/>
      <c r="FX43" s="657"/>
      <c r="FY43" s="657"/>
      <c r="FZ43" s="657"/>
      <c r="GA43" s="657"/>
      <c r="GB43" s="657"/>
      <c r="GC43" s="657"/>
      <c r="GD43" s="657"/>
      <c r="GE43" s="657"/>
      <c r="GF43" s="657"/>
      <c r="GG43" s="657"/>
    </row>
    <row r="44" spans="1:189" ht="15" customHeight="1" thickBot="1" x14ac:dyDescent="0.3">
      <c r="A44" s="657"/>
      <c r="B44" s="657"/>
      <c r="C44" s="657"/>
      <c r="D44" s="657"/>
      <c r="E44" s="657"/>
      <c r="F44" s="657"/>
      <c r="G44" s="657"/>
      <c r="H44" s="657"/>
      <c r="I44" s="657"/>
      <c r="J44" s="657"/>
      <c r="K44" s="657"/>
      <c r="L44" s="657"/>
      <c r="M44" s="657"/>
      <c r="N44" s="657"/>
      <c r="O44" s="657"/>
      <c r="P44" s="657"/>
      <c r="Q44" s="657"/>
      <c r="R44" s="657"/>
      <c r="S44" s="657"/>
      <c r="T44" s="657"/>
      <c r="U44" s="657"/>
      <c r="V44" s="657"/>
      <c r="W44" s="657"/>
      <c r="X44" s="657"/>
      <c r="Y44" s="554"/>
      <c r="Z44" s="555"/>
      <c r="AA44" s="555"/>
      <c r="AB44" s="555"/>
      <c r="AC44" s="555"/>
      <c r="AD44" s="555"/>
      <c r="AE44" s="555"/>
      <c r="AF44" s="555"/>
      <c r="AG44" s="555"/>
      <c r="AH44" s="558"/>
      <c r="AI44" s="679" t="s">
        <v>81</v>
      </c>
      <c r="AJ44" s="434"/>
      <c r="AK44" s="434"/>
      <c r="AL44" s="252"/>
      <c r="AM44" s="252"/>
      <c r="AN44" s="252"/>
      <c r="AO44" s="252"/>
      <c r="AP44" s="252"/>
      <c r="AQ44" s="252"/>
      <c r="AR44" s="252"/>
      <c r="AS44" s="252"/>
      <c r="AT44" s="252"/>
      <c r="AU44" s="252"/>
      <c r="AV44" s="253"/>
      <c r="AW44" s="696"/>
      <c r="AX44" s="695"/>
      <c r="AY44" s="695"/>
      <c r="AZ44" s="695"/>
      <c r="BA44" s="695"/>
      <c r="BB44" s="695"/>
      <c r="BC44" s="695"/>
      <c r="BD44" s="695"/>
      <c r="BE44" s="695"/>
      <c r="BF44" s="695"/>
      <c r="BG44" s="695"/>
      <c r="BH44" s="695"/>
      <c r="BI44" s="695"/>
      <c r="BJ44" s="695"/>
      <c r="BK44" s="695"/>
      <c r="BL44" s="657"/>
      <c r="BM44" s="657"/>
      <c r="BN44" s="657"/>
      <c r="BO44" s="657"/>
      <c r="BP44" s="657"/>
      <c r="BQ44" s="657"/>
      <c r="BR44" s="657"/>
      <c r="BS44" s="657"/>
      <c r="BT44" s="658"/>
      <c r="BU44" s="296"/>
      <c r="BV44" s="297"/>
      <c r="BW44" s="297"/>
      <c r="BX44" s="297"/>
      <c r="BY44" s="297"/>
      <c r="BZ44" s="297"/>
      <c r="CA44" s="297"/>
      <c r="CB44" s="297"/>
      <c r="CC44" s="297"/>
      <c r="CD44" s="297"/>
      <c r="CE44" s="297"/>
      <c r="CF44" s="297"/>
      <c r="CG44" s="297"/>
      <c r="CH44" s="297"/>
      <c r="CI44" s="297"/>
      <c r="CJ44" s="657"/>
      <c r="CK44" s="657"/>
      <c r="CL44" s="657"/>
      <c r="CM44" s="657"/>
      <c r="CN44" s="657"/>
      <c r="CO44" s="657"/>
      <c r="CP44" s="657"/>
      <c r="CQ44" s="657"/>
      <c r="CR44" s="658"/>
      <c r="CS44" s="657"/>
      <c r="CT44" s="657"/>
      <c r="CU44" s="657"/>
      <c r="CV44" s="657"/>
      <c r="CW44" s="657"/>
      <c r="CX44" s="657"/>
      <c r="CY44" s="657"/>
      <c r="CZ44" s="657"/>
      <c r="DA44" s="657"/>
      <c r="DB44" s="657"/>
      <c r="DC44" s="657"/>
      <c r="DD44" s="657"/>
      <c r="DE44" s="657"/>
      <c r="DF44" s="657"/>
      <c r="DG44" s="657"/>
      <c r="DH44" s="657"/>
      <c r="DI44" s="657"/>
      <c r="DJ44" s="657"/>
      <c r="DK44" s="657"/>
      <c r="DL44" s="657"/>
      <c r="DM44" s="657"/>
      <c r="DN44" s="657"/>
      <c r="DO44" s="657"/>
      <c r="DP44" s="657"/>
      <c r="DQ44" s="554"/>
      <c r="DR44" s="555"/>
      <c r="DS44" s="555"/>
      <c r="DT44" s="555"/>
      <c r="DU44" s="555"/>
      <c r="DV44" s="555"/>
      <c r="DW44" s="555"/>
      <c r="DX44" s="555"/>
      <c r="DY44" s="555"/>
      <c r="DZ44" s="558"/>
      <c r="EA44" s="679" t="s">
        <v>33</v>
      </c>
      <c r="EB44" s="434"/>
      <c r="EC44" s="434"/>
      <c r="ED44" s="18">
        <f>ED43*AL44*3</f>
        <v>0</v>
      </c>
      <c r="EE44" s="18">
        <f>EE43*AM44*4</f>
        <v>0</v>
      </c>
      <c r="EF44" s="18">
        <f t="shared" ref="EF44:EN44" si="33">EF43*AN44*4</f>
        <v>0</v>
      </c>
      <c r="EG44" s="18">
        <f t="shared" si="33"/>
        <v>0</v>
      </c>
      <c r="EH44" s="18">
        <f t="shared" si="33"/>
        <v>0</v>
      </c>
      <c r="EI44" s="18">
        <f t="shared" si="33"/>
        <v>0</v>
      </c>
      <c r="EJ44" s="18">
        <f t="shared" si="33"/>
        <v>0</v>
      </c>
      <c r="EK44" s="18">
        <f t="shared" si="33"/>
        <v>0</v>
      </c>
      <c r="EL44" s="18">
        <f t="shared" si="33"/>
        <v>0</v>
      </c>
      <c r="EM44" s="18">
        <f t="shared" si="33"/>
        <v>0</v>
      </c>
      <c r="EN44" s="21">
        <f t="shared" si="33"/>
        <v>0</v>
      </c>
      <c r="EO44" s="657"/>
      <c r="EP44" s="657"/>
      <c r="EQ44" s="657"/>
      <c r="ER44" s="657"/>
      <c r="ES44" s="657"/>
      <c r="ET44" s="657"/>
      <c r="EU44" s="657"/>
      <c r="EV44" s="657"/>
      <c r="EW44" s="657"/>
      <c r="EX44" s="657"/>
      <c r="EY44" s="657"/>
      <c r="EZ44" s="657"/>
      <c r="FA44" s="657"/>
      <c r="FB44" s="657"/>
      <c r="FC44" s="657"/>
      <c r="FD44" s="657"/>
      <c r="FE44" s="657"/>
      <c r="FF44" s="657"/>
      <c r="FG44" s="657"/>
      <c r="FH44" s="657"/>
      <c r="FI44" s="657"/>
      <c r="FJ44" s="657"/>
      <c r="FK44" s="657"/>
      <c r="FL44" s="657"/>
      <c r="FM44" s="657"/>
      <c r="FN44" s="657"/>
      <c r="FO44" s="657"/>
      <c r="FP44" s="657"/>
      <c r="FQ44" s="657"/>
      <c r="FR44" s="657"/>
      <c r="FS44" s="657"/>
      <c r="FT44" s="657"/>
      <c r="FU44" s="657"/>
      <c r="FV44" s="657"/>
      <c r="FW44" s="657"/>
      <c r="FX44" s="657"/>
      <c r="FY44" s="657"/>
      <c r="FZ44" s="657"/>
      <c r="GA44" s="657"/>
      <c r="GB44" s="657"/>
      <c r="GC44" s="657"/>
      <c r="GD44" s="657"/>
      <c r="GE44" s="657"/>
      <c r="GF44" s="657"/>
      <c r="GG44" s="657"/>
    </row>
    <row r="45" spans="1:189" ht="15.75" customHeight="1" x14ac:dyDescent="0.25">
      <c r="A45" s="657"/>
      <c r="B45" s="657"/>
      <c r="C45" s="657"/>
      <c r="D45" s="657"/>
      <c r="E45" s="657"/>
      <c r="F45" s="657"/>
      <c r="G45" s="657"/>
      <c r="H45" s="657"/>
      <c r="I45" s="657"/>
      <c r="J45" s="657"/>
      <c r="K45" s="657"/>
      <c r="L45" s="657"/>
      <c r="M45" s="657"/>
      <c r="N45" s="657"/>
      <c r="O45" s="657"/>
      <c r="P45" s="657"/>
      <c r="Q45" s="657"/>
      <c r="R45" s="657"/>
      <c r="S45" s="657"/>
      <c r="T45" s="657"/>
      <c r="U45" s="657"/>
      <c r="V45" s="657"/>
      <c r="W45" s="657"/>
      <c r="X45" s="657"/>
      <c r="Y45" s="548" t="s">
        <v>503</v>
      </c>
      <c r="Z45" s="547"/>
      <c r="AA45" s="547"/>
      <c r="AB45" s="547"/>
      <c r="AC45" s="547"/>
      <c r="AD45" s="547"/>
      <c r="AE45" s="547"/>
      <c r="AF45" s="547"/>
      <c r="AG45" s="547"/>
      <c r="AH45" s="556"/>
      <c r="AI45" s="680" t="s">
        <v>71</v>
      </c>
      <c r="AJ45" s="417"/>
      <c r="AK45" s="417"/>
      <c r="AL45" s="163">
        <v>1</v>
      </c>
      <c r="AM45" s="163">
        <v>2</v>
      </c>
      <c r="AN45" s="163">
        <v>3</v>
      </c>
      <c r="AO45" s="163">
        <v>4</v>
      </c>
      <c r="AP45" s="163">
        <v>5</v>
      </c>
      <c r="AQ45" s="163">
        <v>6</v>
      </c>
      <c r="AR45" s="163">
        <v>7</v>
      </c>
      <c r="AS45" s="163">
        <v>8</v>
      </c>
      <c r="AT45" s="163">
        <v>9</v>
      </c>
      <c r="AU45" s="163">
        <v>10</v>
      </c>
      <c r="AV45" s="52">
        <v>11</v>
      </c>
      <c r="AW45" s="696"/>
      <c r="AX45" s="695"/>
      <c r="AY45" s="695"/>
      <c r="AZ45" s="695"/>
      <c r="BA45" s="695"/>
      <c r="BB45" s="695"/>
      <c r="BC45" s="695"/>
      <c r="BD45" s="695"/>
      <c r="BE45" s="695"/>
      <c r="BF45" s="695"/>
      <c r="BG45" s="695"/>
      <c r="BH45" s="695"/>
      <c r="BI45" s="695"/>
      <c r="BJ45" s="695"/>
      <c r="BK45" s="695"/>
      <c r="BL45" s="657"/>
      <c r="BM45" s="657"/>
      <c r="BN45" s="657"/>
      <c r="BO45" s="657"/>
      <c r="BP45" s="657"/>
      <c r="BQ45" s="657"/>
      <c r="BR45" s="657"/>
      <c r="BS45" s="657"/>
      <c r="BT45" s="658"/>
      <c r="BU45" s="296"/>
      <c r="BV45" s="297"/>
      <c r="BW45" s="297"/>
      <c r="BX45" s="297"/>
      <c r="BY45" s="297"/>
      <c r="BZ45" s="297"/>
      <c r="CA45" s="297"/>
      <c r="CB45" s="297"/>
      <c r="CC45" s="297"/>
      <c r="CD45" s="297"/>
      <c r="CE45" s="297"/>
      <c r="CF45" s="297"/>
      <c r="CG45" s="297"/>
      <c r="CH45" s="297"/>
      <c r="CI45" s="297"/>
      <c r="CJ45" s="657"/>
      <c r="CK45" s="657"/>
      <c r="CL45" s="657"/>
      <c r="CM45" s="657"/>
      <c r="CN45" s="657"/>
      <c r="CO45" s="657"/>
      <c r="CP45" s="657"/>
      <c r="CQ45" s="657"/>
      <c r="CR45" s="658"/>
      <c r="CS45" s="657"/>
      <c r="CT45" s="657"/>
      <c r="CU45" s="657"/>
      <c r="CV45" s="657"/>
      <c r="CW45" s="657"/>
      <c r="CX45" s="657"/>
      <c r="CY45" s="657"/>
      <c r="CZ45" s="657"/>
      <c r="DA45" s="657"/>
      <c r="DB45" s="657"/>
      <c r="DC45" s="657"/>
      <c r="DD45" s="657"/>
      <c r="DE45" s="657"/>
      <c r="DF45" s="657"/>
      <c r="DG45" s="657"/>
      <c r="DH45" s="657"/>
      <c r="DI45" s="657"/>
      <c r="DJ45" s="657"/>
      <c r="DK45" s="657"/>
      <c r="DL45" s="657"/>
      <c r="DM45" s="657"/>
      <c r="DN45" s="657"/>
      <c r="DO45" s="657"/>
      <c r="DP45" s="657"/>
      <c r="DQ45" s="548" t="s">
        <v>503</v>
      </c>
      <c r="DR45" s="547"/>
      <c r="DS45" s="547"/>
      <c r="DT45" s="547"/>
      <c r="DU45" s="547"/>
      <c r="DV45" s="547"/>
      <c r="DW45" s="547"/>
      <c r="DX45" s="547"/>
      <c r="DY45" s="547"/>
      <c r="DZ45" s="556"/>
      <c r="EA45" s="680" t="s">
        <v>71</v>
      </c>
      <c r="EB45" s="417"/>
      <c r="EC45" s="417"/>
      <c r="ED45" s="19">
        <v>1</v>
      </c>
      <c r="EE45" s="19">
        <v>2</v>
      </c>
      <c r="EF45" s="19">
        <v>3</v>
      </c>
      <c r="EG45" s="19">
        <v>4</v>
      </c>
      <c r="EH45" s="19">
        <v>5</v>
      </c>
      <c r="EI45" s="19">
        <v>6</v>
      </c>
      <c r="EJ45" s="19">
        <v>7</v>
      </c>
      <c r="EK45" s="19">
        <v>8</v>
      </c>
      <c r="EL45" s="19">
        <v>9</v>
      </c>
      <c r="EM45" s="19">
        <v>10</v>
      </c>
      <c r="EN45" s="20">
        <v>11</v>
      </c>
      <c r="EO45" s="657"/>
      <c r="EP45" s="657"/>
      <c r="EQ45" s="657"/>
      <c r="ER45" s="657"/>
      <c r="ES45" s="657"/>
      <c r="ET45" s="657"/>
      <c r="EU45" s="657"/>
      <c r="EV45" s="657"/>
      <c r="EW45" s="657"/>
      <c r="EX45" s="657"/>
      <c r="EY45" s="657"/>
      <c r="EZ45" s="657"/>
      <c r="FA45" s="657"/>
      <c r="FB45" s="657"/>
      <c r="FC45" s="657"/>
      <c r="FD45" s="657"/>
      <c r="FE45" s="657"/>
      <c r="FF45" s="657"/>
      <c r="FG45" s="657"/>
      <c r="FH45" s="657"/>
      <c r="FI45" s="657"/>
      <c r="FJ45" s="657"/>
      <c r="FK45" s="657"/>
      <c r="FL45" s="657"/>
      <c r="FM45" s="657"/>
      <c r="FN45" s="657"/>
      <c r="FO45" s="657"/>
      <c r="FP45" s="657"/>
      <c r="FQ45" s="657"/>
      <c r="FR45" s="657"/>
      <c r="FS45" s="657"/>
      <c r="FT45" s="657"/>
      <c r="FU45" s="657"/>
      <c r="FV45" s="657"/>
      <c r="FW45" s="657"/>
      <c r="FX45" s="657"/>
      <c r="FY45" s="657"/>
      <c r="FZ45" s="657"/>
      <c r="GA45" s="657"/>
      <c r="GB45" s="657"/>
      <c r="GC45" s="657"/>
      <c r="GD45" s="657"/>
      <c r="GE45" s="657"/>
      <c r="GF45" s="657"/>
      <c r="GG45" s="657"/>
    </row>
    <row r="46" spans="1:189" ht="15" customHeight="1" thickBot="1" x14ac:dyDescent="0.3">
      <c r="A46" s="657"/>
      <c r="B46" s="657"/>
      <c r="C46" s="657"/>
      <c r="D46" s="657"/>
      <c r="E46" s="657"/>
      <c r="F46" s="657"/>
      <c r="G46" s="657"/>
      <c r="H46" s="657"/>
      <c r="I46" s="657"/>
      <c r="J46" s="657"/>
      <c r="K46" s="657"/>
      <c r="L46" s="657"/>
      <c r="M46" s="657"/>
      <c r="N46" s="657"/>
      <c r="O46" s="657"/>
      <c r="P46" s="657"/>
      <c r="Q46" s="657"/>
      <c r="R46" s="657"/>
      <c r="S46" s="657"/>
      <c r="T46" s="657"/>
      <c r="U46" s="657"/>
      <c r="V46" s="657"/>
      <c r="W46" s="657"/>
      <c r="X46" s="657"/>
      <c r="Y46" s="554"/>
      <c r="Z46" s="555"/>
      <c r="AA46" s="555"/>
      <c r="AB46" s="555"/>
      <c r="AC46" s="555"/>
      <c r="AD46" s="555"/>
      <c r="AE46" s="555"/>
      <c r="AF46" s="555"/>
      <c r="AG46" s="555"/>
      <c r="AH46" s="558"/>
      <c r="AI46" s="679" t="s">
        <v>81</v>
      </c>
      <c r="AJ46" s="434"/>
      <c r="AK46" s="434"/>
      <c r="AL46" s="252"/>
      <c r="AM46" s="252"/>
      <c r="AN46" s="252"/>
      <c r="AO46" s="252"/>
      <c r="AP46" s="252"/>
      <c r="AQ46" s="252"/>
      <c r="AR46" s="252"/>
      <c r="AS46" s="252"/>
      <c r="AT46" s="252"/>
      <c r="AU46" s="252"/>
      <c r="AV46" s="253"/>
      <c r="AW46" s="696"/>
      <c r="AX46" s="695"/>
      <c r="AY46" s="695"/>
      <c r="AZ46" s="695"/>
      <c r="BA46" s="695"/>
      <c r="BB46" s="695"/>
      <c r="BC46" s="695"/>
      <c r="BD46" s="695"/>
      <c r="BE46" s="695"/>
      <c r="BF46" s="695"/>
      <c r="BG46" s="695"/>
      <c r="BH46" s="695"/>
      <c r="BI46" s="695"/>
      <c r="BJ46" s="695"/>
      <c r="BK46" s="695"/>
      <c r="BL46" s="657"/>
      <c r="BM46" s="657"/>
      <c r="BN46" s="657"/>
      <c r="BO46" s="657"/>
      <c r="BP46" s="657"/>
      <c r="BQ46" s="657"/>
      <c r="BR46" s="657"/>
      <c r="BS46" s="657"/>
      <c r="BT46" s="658"/>
      <c r="BU46" s="296"/>
      <c r="BV46" s="297"/>
      <c r="BW46" s="297"/>
      <c r="BX46" s="297"/>
      <c r="BY46" s="297"/>
      <c r="BZ46" s="297"/>
      <c r="CA46" s="297"/>
      <c r="CB46" s="297"/>
      <c r="CC46" s="297"/>
      <c r="CD46" s="297"/>
      <c r="CE46" s="297"/>
      <c r="CF46" s="297"/>
      <c r="CG46" s="297"/>
      <c r="CH46" s="297"/>
      <c r="CI46" s="297"/>
      <c r="CJ46" s="657"/>
      <c r="CK46" s="657"/>
      <c r="CL46" s="657"/>
      <c r="CM46" s="657"/>
      <c r="CN46" s="657"/>
      <c r="CO46" s="657"/>
      <c r="CP46" s="657"/>
      <c r="CQ46" s="657"/>
      <c r="CR46" s="658"/>
      <c r="CS46" s="657"/>
      <c r="CT46" s="657"/>
      <c r="CU46" s="657"/>
      <c r="CV46" s="657"/>
      <c r="CW46" s="657"/>
      <c r="CX46" s="657"/>
      <c r="CY46" s="657"/>
      <c r="CZ46" s="657"/>
      <c r="DA46" s="657"/>
      <c r="DB46" s="657"/>
      <c r="DC46" s="657"/>
      <c r="DD46" s="657"/>
      <c r="DE46" s="657"/>
      <c r="DF46" s="657"/>
      <c r="DG46" s="657"/>
      <c r="DH46" s="657"/>
      <c r="DI46" s="657"/>
      <c r="DJ46" s="657"/>
      <c r="DK46" s="657"/>
      <c r="DL46" s="657"/>
      <c r="DM46" s="657"/>
      <c r="DN46" s="657"/>
      <c r="DO46" s="657"/>
      <c r="DP46" s="657"/>
      <c r="DQ46" s="554"/>
      <c r="DR46" s="555"/>
      <c r="DS46" s="555"/>
      <c r="DT46" s="555"/>
      <c r="DU46" s="555"/>
      <c r="DV46" s="555"/>
      <c r="DW46" s="555"/>
      <c r="DX46" s="555"/>
      <c r="DY46" s="555"/>
      <c r="DZ46" s="558"/>
      <c r="EA46" s="679" t="s">
        <v>33</v>
      </c>
      <c r="EB46" s="434"/>
      <c r="EC46" s="434"/>
      <c r="ED46" s="18">
        <f>ED45*AL46*4</f>
        <v>0</v>
      </c>
      <c r="EE46" s="18">
        <f t="shared" ref="EE46" si="34">EE45*AM46*5</f>
        <v>0</v>
      </c>
      <c r="EF46" s="18">
        <f t="shared" ref="EF46" si="35">EF45*AN46*5</f>
        <v>0</v>
      </c>
      <c r="EG46" s="18">
        <f t="shared" ref="EG46" si="36">EG45*AO46*5</f>
        <v>0</v>
      </c>
      <c r="EH46" s="18">
        <f t="shared" ref="EH46" si="37">EH45*AP46*5</f>
        <v>0</v>
      </c>
      <c r="EI46" s="18">
        <f t="shared" ref="EI46" si="38">EI45*AQ46*5</f>
        <v>0</v>
      </c>
      <c r="EJ46" s="18">
        <f t="shared" ref="EJ46" si="39">EJ45*AR46*5</f>
        <v>0</v>
      </c>
      <c r="EK46" s="18">
        <f t="shared" ref="EK46" si="40">EK45*AS46*5</f>
        <v>0</v>
      </c>
      <c r="EL46" s="18">
        <f t="shared" ref="EL46" si="41">EL45*AT46*5</f>
        <v>0</v>
      </c>
      <c r="EM46" s="18">
        <f t="shared" ref="EM46" si="42">EM45*AU46*5</f>
        <v>0</v>
      </c>
      <c r="EN46" s="21">
        <f t="shared" ref="EN46" si="43">EN45*AV46*5</f>
        <v>0</v>
      </c>
      <c r="EO46" s="657"/>
      <c r="EP46" s="657"/>
      <c r="EQ46" s="657"/>
      <c r="ER46" s="657"/>
      <c r="ES46" s="657"/>
      <c r="ET46" s="657"/>
      <c r="EU46" s="657"/>
      <c r="EV46" s="657"/>
      <c r="EW46" s="657"/>
      <c r="EX46" s="657"/>
      <c r="EY46" s="657"/>
      <c r="EZ46" s="657"/>
      <c r="FA46" s="657"/>
      <c r="FB46" s="657"/>
      <c r="FC46" s="657"/>
      <c r="FD46" s="657"/>
      <c r="FE46" s="657"/>
      <c r="FF46" s="657"/>
      <c r="FG46" s="657"/>
      <c r="FH46" s="657"/>
      <c r="FI46" s="657"/>
      <c r="FJ46" s="657"/>
      <c r="FK46" s="657"/>
      <c r="FL46" s="657"/>
      <c r="FM46" s="657"/>
      <c r="FN46" s="657"/>
      <c r="FO46" s="657"/>
      <c r="FP46" s="657"/>
      <c r="FQ46" s="657"/>
      <c r="FR46" s="657"/>
      <c r="FS46" s="657"/>
      <c r="FT46" s="657"/>
      <c r="FU46" s="657"/>
      <c r="FV46" s="657"/>
      <c r="FW46" s="657"/>
      <c r="FX46" s="657"/>
      <c r="FY46" s="657"/>
      <c r="FZ46" s="657"/>
      <c r="GA46" s="657"/>
      <c r="GB46" s="657"/>
      <c r="GC46" s="657"/>
      <c r="GD46" s="657"/>
      <c r="GE46" s="657"/>
      <c r="GF46" s="657"/>
      <c r="GG46" s="657"/>
    </row>
    <row r="47" spans="1:189" ht="15.75" customHeight="1" x14ac:dyDescent="0.25">
      <c r="A47" s="657"/>
      <c r="B47" s="657"/>
      <c r="C47" s="657"/>
      <c r="D47" s="657"/>
      <c r="E47" s="657"/>
      <c r="F47" s="657"/>
      <c r="G47" s="657"/>
      <c r="H47" s="657"/>
      <c r="I47" s="657"/>
      <c r="J47" s="657"/>
      <c r="K47" s="657"/>
      <c r="L47" s="657"/>
      <c r="M47" s="657"/>
      <c r="N47" s="657"/>
      <c r="O47" s="657"/>
      <c r="P47" s="657"/>
      <c r="Q47" s="657"/>
      <c r="R47" s="657"/>
      <c r="S47" s="657"/>
      <c r="T47" s="657"/>
      <c r="U47" s="657"/>
      <c r="V47" s="657"/>
      <c r="W47" s="657"/>
      <c r="X47" s="657"/>
      <c r="Y47" s="548" t="s">
        <v>500</v>
      </c>
      <c r="Z47" s="547"/>
      <c r="AA47" s="547"/>
      <c r="AB47" s="547"/>
      <c r="AC47" s="547"/>
      <c r="AD47" s="547"/>
      <c r="AE47" s="547"/>
      <c r="AF47" s="547"/>
      <c r="AG47" s="547"/>
      <c r="AH47" s="556"/>
      <c r="AI47" s="680" t="s">
        <v>71</v>
      </c>
      <c r="AJ47" s="417"/>
      <c r="AK47" s="417"/>
      <c r="AL47" s="163">
        <v>1</v>
      </c>
      <c r="AM47" s="163">
        <v>2</v>
      </c>
      <c r="AN47" s="163">
        <v>3</v>
      </c>
      <c r="AO47" s="163">
        <v>4</v>
      </c>
      <c r="AP47" s="163">
        <v>5</v>
      </c>
      <c r="AQ47" s="163">
        <v>6</v>
      </c>
      <c r="AR47" s="163">
        <v>7</v>
      </c>
      <c r="AS47" s="163">
        <v>8</v>
      </c>
      <c r="AT47" s="163">
        <v>9</v>
      </c>
      <c r="AU47" s="163">
        <v>10</v>
      </c>
      <c r="AV47" s="52">
        <v>11</v>
      </c>
      <c r="AW47" s="696"/>
      <c r="AX47" s="695"/>
      <c r="AY47" s="695"/>
      <c r="AZ47" s="695"/>
      <c r="BA47" s="695"/>
      <c r="BB47" s="695"/>
      <c r="BC47" s="695"/>
      <c r="BD47" s="695"/>
      <c r="BE47" s="695"/>
      <c r="BF47" s="695"/>
      <c r="BG47" s="695"/>
      <c r="BH47" s="695"/>
      <c r="BI47" s="695"/>
      <c r="BJ47" s="695"/>
      <c r="BK47" s="695"/>
      <c r="BL47" s="657"/>
      <c r="BM47" s="657"/>
      <c r="BN47" s="657"/>
      <c r="BO47" s="657"/>
      <c r="BP47" s="657"/>
      <c r="BQ47" s="657"/>
      <c r="BR47" s="657"/>
      <c r="BS47" s="657"/>
      <c r="BT47" s="658"/>
      <c r="BU47" s="296"/>
      <c r="BV47" s="297"/>
      <c r="BW47" s="297"/>
      <c r="BX47" s="297"/>
      <c r="BY47" s="297"/>
      <c r="BZ47" s="297"/>
      <c r="CA47" s="297"/>
      <c r="CB47" s="297"/>
      <c r="CC47" s="297"/>
      <c r="CD47" s="297"/>
      <c r="CE47" s="297"/>
      <c r="CF47" s="297"/>
      <c r="CG47" s="297"/>
      <c r="CH47" s="297"/>
      <c r="CI47" s="297"/>
      <c r="CJ47" s="657"/>
      <c r="CK47" s="657"/>
      <c r="CL47" s="657"/>
      <c r="CM47" s="657"/>
      <c r="CN47" s="657"/>
      <c r="CO47" s="657"/>
      <c r="CP47" s="657"/>
      <c r="CQ47" s="657"/>
      <c r="CR47" s="658"/>
      <c r="CS47" s="657"/>
      <c r="CT47" s="657"/>
      <c r="CU47" s="657"/>
      <c r="CV47" s="657"/>
      <c r="CW47" s="657"/>
      <c r="CX47" s="657"/>
      <c r="CY47" s="657"/>
      <c r="CZ47" s="657"/>
      <c r="DA47" s="657"/>
      <c r="DB47" s="657"/>
      <c r="DC47" s="657"/>
      <c r="DD47" s="657"/>
      <c r="DE47" s="657"/>
      <c r="DF47" s="657"/>
      <c r="DG47" s="657"/>
      <c r="DH47" s="657"/>
      <c r="DI47" s="657"/>
      <c r="DJ47" s="657"/>
      <c r="DK47" s="657"/>
      <c r="DL47" s="657"/>
      <c r="DM47" s="657"/>
      <c r="DN47" s="657"/>
      <c r="DO47" s="657"/>
      <c r="DP47" s="657"/>
      <c r="DQ47" s="548" t="s">
        <v>500</v>
      </c>
      <c r="DR47" s="547"/>
      <c r="DS47" s="547"/>
      <c r="DT47" s="547"/>
      <c r="DU47" s="547"/>
      <c r="DV47" s="547"/>
      <c r="DW47" s="547"/>
      <c r="DX47" s="547"/>
      <c r="DY47" s="547"/>
      <c r="DZ47" s="556"/>
      <c r="EA47" s="680" t="s">
        <v>71</v>
      </c>
      <c r="EB47" s="417"/>
      <c r="EC47" s="417"/>
      <c r="ED47" s="19">
        <v>1</v>
      </c>
      <c r="EE47" s="19">
        <v>2</v>
      </c>
      <c r="EF47" s="19">
        <v>3</v>
      </c>
      <c r="EG47" s="19">
        <v>4</v>
      </c>
      <c r="EH47" s="19">
        <v>5</v>
      </c>
      <c r="EI47" s="19">
        <v>6</v>
      </c>
      <c r="EJ47" s="19">
        <v>7</v>
      </c>
      <c r="EK47" s="19">
        <v>8</v>
      </c>
      <c r="EL47" s="19">
        <v>9</v>
      </c>
      <c r="EM47" s="19">
        <v>10</v>
      </c>
      <c r="EN47" s="20">
        <v>11</v>
      </c>
      <c r="EO47" s="657"/>
      <c r="EP47" s="657"/>
      <c r="EQ47" s="657"/>
      <c r="ER47" s="657"/>
      <c r="ES47" s="657"/>
      <c r="ET47" s="657"/>
      <c r="EU47" s="657"/>
      <c r="EV47" s="657"/>
      <c r="EW47" s="657"/>
      <c r="EX47" s="657"/>
      <c r="EY47" s="657"/>
      <c r="EZ47" s="657"/>
      <c r="FA47" s="657"/>
      <c r="FB47" s="657"/>
      <c r="FC47" s="657"/>
      <c r="FD47" s="657"/>
      <c r="FE47" s="657"/>
      <c r="FF47" s="657"/>
      <c r="FG47" s="657"/>
      <c r="FH47" s="657"/>
      <c r="FI47" s="657"/>
      <c r="FJ47" s="657"/>
      <c r="FK47" s="657"/>
      <c r="FL47" s="657"/>
      <c r="FM47" s="657"/>
      <c r="FN47" s="657"/>
      <c r="FO47" s="657"/>
      <c r="FP47" s="657"/>
      <c r="FQ47" s="657"/>
      <c r="FR47" s="657"/>
      <c r="FS47" s="657"/>
      <c r="FT47" s="657"/>
      <c r="FU47" s="657"/>
      <c r="FV47" s="657"/>
      <c r="FW47" s="657"/>
      <c r="FX47" s="657"/>
      <c r="FY47" s="657"/>
      <c r="FZ47" s="657"/>
      <c r="GA47" s="657"/>
      <c r="GB47" s="657"/>
      <c r="GC47" s="657"/>
      <c r="GD47" s="657"/>
      <c r="GE47" s="657"/>
      <c r="GF47" s="657"/>
      <c r="GG47" s="657"/>
    </row>
    <row r="48" spans="1:189" ht="15.75" customHeight="1" thickBot="1" x14ac:dyDescent="0.3">
      <c r="A48" s="657"/>
      <c r="B48" s="657"/>
      <c r="C48" s="657"/>
      <c r="D48" s="657"/>
      <c r="E48" s="657"/>
      <c r="F48" s="657"/>
      <c r="G48" s="657"/>
      <c r="H48" s="657"/>
      <c r="I48" s="657"/>
      <c r="J48" s="657"/>
      <c r="K48" s="657"/>
      <c r="L48" s="657"/>
      <c r="M48" s="657"/>
      <c r="N48" s="657"/>
      <c r="O48" s="657"/>
      <c r="P48" s="657"/>
      <c r="Q48" s="657"/>
      <c r="R48" s="657"/>
      <c r="S48" s="657"/>
      <c r="T48" s="657"/>
      <c r="U48" s="657"/>
      <c r="V48" s="657"/>
      <c r="W48" s="657"/>
      <c r="X48" s="657"/>
      <c r="Y48" s="554"/>
      <c r="Z48" s="555"/>
      <c r="AA48" s="555"/>
      <c r="AB48" s="555"/>
      <c r="AC48" s="555"/>
      <c r="AD48" s="555"/>
      <c r="AE48" s="555"/>
      <c r="AF48" s="555"/>
      <c r="AG48" s="555"/>
      <c r="AH48" s="558"/>
      <c r="AI48" s="679" t="s">
        <v>81</v>
      </c>
      <c r="AJ48" s="434"/>
      <c r="AK48" s="434"/>
      <c r="AL48" s="252"/>
      <c r="AM48" s="252"/>
      <c r="AN48" s="252"/>
      <c r="AO48" s="252"/>
      <c r="AP48" s="252"/>
      <c r="AQ48" s="252"/>
      <c r="AR48" s="252"/>
      <c r="AS48" s="252"/>
      <c r="AT48" s="252"/>
      <c r="AU48" s="252"/>
      <c r="AV48" s="253"/>
      <c r="AW48" s="696"/>
      <c r="AX48" s="695"/>
      <c r="AY48" s="695"/>
      <c r="AZ48" s="695"/>
      <c r="BA48" s="695"/>
      <c r="BB48" s="695"/>
      <c r="BC48" s="695"/>
      <c r="BD48" s="695"/>
      <c r="BE48" s="695"/>
      <c r="BF48" s="695"/>
      <c r="BG48" s="695"/>
      <c r="BH48" s="695"/>
      <c r="BI48" s="695"/>
      <c r="BJ48" s="695"/>
      <c r="BK48" s="695"/>
      <c r="BL48" s="657"/>
      <c r="BM48" s="657"/>
      <c r="BN48" s="657"/>
      <c r="BO48" s="657"/>
      <c r="BP48" s="657"/>
      <c r="BQ48" s="657"/>
      <c r="BR48" s="657"/>
      <c r="BS48" s="657"/>
      <c r="BT48" s="658"/>
      <c r="BU48" s="296"/>
      <c r="BV48" s="297"/>
      <c r="BW48" s="297"/>
      <c r="BX48" s="297"/>
      <c r="BY48" s="297"/>
      <c r="BZ48" s="297"/>
      <c r="CA48" s="297"/>
      <c r="CB48" s="297"/>
      <c r="CC48" s="297"/>
      <c r="CD48" s="297"/>
      <c r="CE48" s="297"/>
      <c r="CF48" s="297"/>
      <c r="CG48" s="297"/>
      <c r="CH48" s="297"/>
      <c r="CI48" s="297"/>
      <c r="CJ48" s="657"/>
      <c r="CK48" s="657"/>
      <c r="CL48" s="657"/>
      <c r="CM48" s="657"/>
      <c r="CN48" s="657"/>
      <c r="CO48" s="657"/>
      <c r="CP48" s="657"/>
      <c r="CQ48" s="657"/>
      <c r="CR48" s="658"/>
      <c r="CS48" s="657"/>
      <c r="CT48" s="657"/>
      <c r="CU48" s="657"/>
      <c r="CV48" s="657"/>
      <c r="CW48" s="657"/>
      <c r="CX48" s="657"/>
      <c r="CY48" s="657"/>
      <c r="CZ48" s="657"/>
      <c r="DA48" s="657"/>
      <c r="DB48" s="657"/>
      <c r="DC48" s="657"/>
      <c r="DD48" s="657"/>
      <c r="DE48" s="657"/>
      <c r="DF48" s="657"/>
      <c r="DG48" s="657"/>
      <c r="DH48" s="657"/>
      <c r="DI48" s="657"/>
      <c r="DJ48" s="657"/>
      <c r="DK48" s="657"/>
      <c r="DL48" s="657"/>
      <c r="DM48" s="657"/>
      <c r="DN48" s="657"/>
      <c r="DO48" s="657"/>
      <c r="DP48" s="657"/>
      <c r="DQ48" s="554"/>
      <c r="DR48" s="555"/>
      <c r="DS48" s="555"/>
      <c r="DT48" s="555"/>
      <c r="DU48" s="555"/>
      <c r="DV48" s="555"/>
      <c r="DW48" s="555"/>
      <c r="DX48" s="555"/>
      <c r="DY48" s="555"/>
      <c r="DZ48" s="558"/>
      <c r="EA48" s="679" t="s">
        <v>33</v>
      </c>
      <c r="EB48" s="434"/>
      <c r="EC48" s="434"/>
      <c r="ED48" s="18">
        <f>IF(LOOKUP(CharacterSheet!$AK$7,AssociatedRef!$AP$2:$AP$130,AssociatedRef!$BM$2:$BM$130)="Yes",ED47*4*AL48,AL48*5*ED47)</f>
        <v>0</v>
      </c>
      <c r="EE48" s="18">
        <f>IF(LOOKUP(CharacterSheet!$AK$7,AssociatedRef!$AP$2:$AP$130,AssociatedRef!$BM$2:$BM$130)="Yes",EE47*4*AM48,AM48*5*EE47)</f>
        <v>0</v>
      </c>
      <c r="EF48" s="18">
        <f>IF(LOOKUP(CharacterSheet!$AK$7,AssociatedRef!$AP$2:$AP$130,AssociatedRef!$BM$2:$BM$130)="Yes",EF47*4*AN48,AN48*5*EF47)</f>
        <v>0</v>
      </c>
      <c r="EG48" s="18">
        <f>IF(LOOKUP(CharacterSheet!$AK$7,AssociatedRef!$AP$2:$AP$130,AssociatedRef!$BM$2:$BM$130)="Yes",EG47*4*AO48,AO48*5*EG47)</f>
        <v>0</v>
      </c>
      <c r="EH48" s="18">
        <f>IF(LOOKUP(CharacterSheet!$AK$7,AssociatedRef!$AP$2:$AP$130,AssociatedRef!$BM$2:$BM$130)="Yes",EH47*4*AP48,AP48*5*EH47)</f>
        <v>0</v>
      </c>
      <c r="EI48" s="18">
        <f>IF(LOOKUP(CharacterSheet!$AK$7,AssociatedRef!$AP$2:$AP$130,AssociatedRef!$BM$2:$BM$130)="Yes",EI47*4*AQ48,AQ48*5*EI47)</f>
        <v>0</v>
      </c>
      <c r="EJ48" s="18">
        <f>IF(LOOKUP(CharacterSheet!$AK$7,AssociatedRef!$AP$2:$AP$130,AssociatedRef!$BM$2:$BM$130)="Yes",EJ47*4*AR48,AR48*5*EJ47)</f>
        <v>0</v>
      </c>
      <c r="EK48" s="18">
        <f>IF(LOOKUP(CharacterSheet!$AK$7,AssociatedRef!$AP$2:$AP$130,AssociatedRef!$BM$2:$BM$130)="Yes",EK47*4*AS48,AS48*5*EK47)</f>
        <v>0</v>
      </c>
      <c r="EL48" s="18">
        <f>IF(LOOKUP(CharacterSheet!$AK$7,AssociatedRef!$AP$2:$AP$130,AssociatedRef!$BM$2:$BM$130)="Yes",EL47*4*AT48,AT48*5*EL47)</f>
        <v>0</v>
      </c>
      <c r="EM48" s="18">
        <f>IF(LOOKUP(CharacterSheet!$AK$7,AssociatedRef!$AP$2:$AP$130,AssociatedRef!$BM$2:$BM$130)="Yes",EM47*4*AU48,AU48*5*EM47)</f>
        <v>0</v>
      </c>
      <c r="EN48" s="21">
        <f>IF(LOOKUP(CharacterSheet!$AK$7,AssociatedRef!$AP$2:$AP$130,AssociatedRef!$BM$2:$BM$130)="Yes",EN47*4*AV48,AV48*5*EN47)</f>
        <v>0</v>
      </c>
      <c r="EO48" s="657"/>
      <c r="EP48" s="657"/>
      <c r="EQ48" s="657"/>
      <c r="ER48" s="657"/>
      <c r="ES48" s="657"/>
      <c r="ET48" s="657"/>
      <c r="EU48" s="657"/>
      <c r="EV48" s="657"/>
      <c r="EW48" s="657"/>
      <c r="EX48" s="657"/>
      <c r="EY48" s="657"/>
      <c r="EZ48" s="657"/>
      <c r="FA48" s="657"/>
      <c r="FB48" s="657"/>
      <c r="FC48" s="657"/>
      <c r="FD48" s="657"/>
      <c r="FE48" s="657"/>
      <c r="FF48" s="657"/>
      <c r="FG48" s="657"/>
      <c r="FH48" s="657"/>
      <c r="FI48" s="657"/>
      <c r="FJ48" s="657"/>
      <c r="FK48" s="657"/>
      <c r="FL48" s="657"/>
      <c r="FM48" s="657"/>
      <c r="FN48" s="657"/>
      <c r="FO48" s="657"/>
      <c r="FP48" s="657"/>
      <c r="FQ48" s="657"/>
      <c r="FR48" s="657"/>
      <c r="FS48" s="657"/>
      <c r="FT48" s="657"/>
      <c r="FU48" s="657"/>
      <c r="FV48" s="657"/>
      <c r="FW48" s="657"/>
      <c r="FX48" s="657"/>
      <c r="FY48" s="657"/>
      <c r="FZ48" s="657"/>
      <c r="GA48" s="657"/>
      <c r="GB48" s="657"/>
      <c r="GC48" s="657"/>
      <c r="GD48" s="657"/>
      <c r="GE48" s="657"/>
      <c r="GF48" s="657"/>
      <c r="GG48" s="657"/>
    </row>
    <row r="49" spans="1:189" ht="15" customHeight="1" x14ac:dyDescent="0.25">
      <c r="A49" s="657"/>
      <c r="B49" s="657"/>
      <c r="C49" s="657"/>
      <c r="D49" s="657"/>
      <c r="E49" s="657"/>
      <c r="F49" s="657"/>
      <c r="G49" s="657"/>
      <c r="H49" s="657"/>
      <c r="I49" s="657"/>
      <c r="J49" s="657"/>
      <c r="K49" s="657"/>
      <c r="L49" s="657"/>
      <c r="M49" s="657"/>
      <c r="N49" s="657"/>
      <c r="O49" s="657"/>
      <c r="P49" s="657"/>
      <c r="Q49" s="657"/>
      <c r="R49" s="657"/>
      <c r="S49" s="657"/>
      <c r="T49" s="657"/>
      <c r="U49" s="657"/>
      <c r="V49" s="657"/>
      <c r="W49" s="657"/>
      <c r="X49" s="657"/>
      <c r="Y49" s="548" t="s">
        <v>504</v>
      </c>
      <c r="Z49" s="547"/>
      <c r="AA49" s="547"/>
      <c r="AB49" s="547"/>
      <c r="AC49" s="547"/>
      <c r="AD49" s="547"/>
      <c r="AE49" s="547"/>
      <c r="AF49" s="547"/>
      <c r="AG49" s="547"/>
      <c r="AH49" s="556"/>
      <c r="AI49" s="680" t="s">
        <v>71</v>
      </c>
      <c r="AJ49" s="417"/>
      <c r="AK49" s="417"/>
      <c r="AL49" s="163">
        <v>1</v>
      </c>
      <c r="AM49" s="163">
        <v>2</v>
      </c>
      <c r="AN49" s="163">
        <v>3</v>
      </c>
      <c r="AO49" s="163">
        <v>4</v>
      </c>
      <c r="AP49" s="163">
        <v>5</v>
      </c>
      <c r="AQ49" s="163">
        <v>6</v>
      </c>
      <c r="AR49" s="163">
        <v>7</v>
      </c>
      <c r="AS49" s="163">
        <v>8</v>
      </c>
      <c r="AT49" s="163">
        <v>9</v>
      </c>
      <c r="AU49" s="163">
        <v>10</v>
      </c>
      <c r="AV49" s="52">
        <v>11</v>
      </c>
      <c r="AW49" s="696"/>
      <c r="AX49" s="695"/>
      <c r="AY49" s="695"/>
      <c r="AZ49" s="695"/>
      <c r="BA49" s="695"/>
      <c r="BB49" s="695"/>
      <c r="BC49" s="695"/>
      <c r="BD49" s="695"/>
      <c r="BE49" s="695"/>
      <c r="BF49" s="695"/>
      <c r="BG49" s="695"/>
      <c r="BH49" s="695"/>
      <c r="BI49" s="695"/>
      <c r="BJ49" s="695"/>
      <c r="BK49" s="695"/>
      <c r="BL49" s="657"/>
      <c r="BM49" s="657"/>
      <c r="BN49" s="657"/>
      <c r="BO49" s="657"/>
      <c r="BP49" s="657"/>
      <c r="BQ49" s="657"/>
      <c r="BR49" s="657"/>
      <c r="BS49" s="657"/>
      <c r="BT49" s="658"/>
      <c r="BU49" s="296"/>
      <c r="BV49" s="297"/>
      <c r="BW49" s="297"/>
      <c r="BX49" s="297"/>
      <c r="BY49" s="297"/>
      <c r="BZ49" s="297"/>
      <c r="CA49" s="297"/>
      <c r="CB49" s="297"/>
      <c r="CC49" s="297"/>
      <c r="CD49" s="297"/>
      <c r="CE49" s="297"/>
      <c r="CF49" s="297"/>
      <c r="CG49" s="297"/>
      <c r="CH49" s="297"/>
      <c r="CI49" s="297"/>
      <c r="CJ49" s="657"/>
      <c r="CK49" s="657"/>
      <c r="CL49" s="657"/>
      <c r="CM49" s="657"/>
      <c r="CN49" s="657"/>
      <c r="CO49" s="657"/>
      <c r="CP49" s="657"/>
      <c r="CQ49" s="657"/>
      <c r="CR49" s="658"/>
      <c r="CS49" s="657"/>
      <c r="CT49" s="657"/>
      <c r="CU49" s="657"/>
      <c r="CV49" s="657"/>
      <c r="CW49" s="657"/>
      <c r="CX49" s="657"/>
      <c r="CY49" s="657"/>
      <c r="CZ49" s="657"/>
      <c r="DA49" s="657"/>
      <c r="DB49" s="657"/>
      <c r="DC49" s="657"/>
      <c r="DD49" s="657"/>
      <c r="DE49" s="657"/>
      <c r="DF49" s="657"/>
      <c r="DG49" s="657"/>
      <c r="DH49" s="657"/>
      <c r="DI49" s="657"/>
      <c r="DJ49" s="657"/>
      <c r="DK49" s="657"/>
      <c r="DL49" s="657"/>
      <c r="DM49" s="657"/>
      <c r="DN49" s="657"/>
      <c r="DO49" s="657"/>
      <c r="DP49" s="657"/>
      <c r="DQ49" s="548" t="s">
        <v>504</v>
      </c>
      <c r="DR49" s="547"/>
      <c r="DS49" s="547"/>
      <c r="DT49" s="547"/>
      <c r="DU49" s="547"/>
      <c r="DV49" s="547"/>
      <c r="DW49" s="547"/>
      <c r="DX49" s="547"/>
      <c r="DY49" s="547"/>
      <c r="DZ49" s="556"/>
      <c r="EA49" s="680" t="s">
        <v>71</v>
      </c>
      <c r="EB49" s="417"/>
      <c r="EC49" s="417"/>
      <c r="ED49" s="19">
        <v>1</v>
      </c>
      <c r="EE49" s="19">
        <v>2</v>
      </c>
      <c r="EF49" s="19">
        <v>3</v>
      </c>
      <c r="EG49" s="19">
        <v>4</v>
      </c>
      <c r="EH49" s="19">
        <v>5</v>
      </c>
      <c r="EI49" s="19">
        <v>6</v>
      </c>
      <c r="EJ49" s="19">
        <v>7</v>
      </c>
      <c r="EK49" s="19">
        <v>8</v>
      </c>
      <c r="EL49" s="19">
        <v>9</v>
      </c>
      <c r="EM49" s="19">
        <v>10</v>
      </c>
      <c r="EN49" s="20">
        <v>11</v>
      </c>
      <c r="EO49" s="657"/>
      <c r="EP49" s="657"/>
      <c r="EQ49" s="657"/>
      <c r="ER49" s="657"/>
      <c r="ES49" s="657"/>
      <c r="ET49" s="657"/>
      <c r="EU49" s="657"/>
      <c r="EV49" s="657"/>
      <c r="EW49" s="657"/>
      <c r="EX49" s="657"/>
      <c r="EY49" s="657"/>
      <c r="EZ49" s="657"/>
      <c r="FA49" s="657"/>
      <c r="FB49" s="657"/>
      <c r="FC49" s="657"/>
      <c r="FD49" s="657"/>
      <c r="FE49" s="657"/>
      <c r="FF49" s="657"/>
      <c r="FG49" s="657"/>
      <c r="FH49" s="657"/>
      <c r="FI49" s="657"/>
      <c r="FJ49" s="657"/>
      <c r="FK49" s="657"/>
      <c r="FL49" s="657"/>
      <c r="FM49" s="657"/>
      <c r="FN49" s="657"/>
      <c r="FO49" s="657"/>
      <c r="FP49" s="657"/>
      <c r="FQ49" s="657"/>
      <c r="FR49" s="657"/>
      <c r="FS49" s="657"/>
      <c r="FT49" s="657"/>
      <c r="FU49" s="657"/>
      <c r="FV49" s="657"/>
      <c r="FW49" s="657"/>
      <c r="FX49" s="657"/>
      <c r="FY49" s="657"/>
      <c r="FZ49" s="657"/>
      <c r="GA49" s="657"/>
      <c r="GB49" s="657"/>
      <c r="GC49" s="657"/>
      <c r="GD49" s="657"/>
      <c r="GE49" s="657"/>
      <c r="GF49" s="657"/>
      <c r="GG49" s="657"/>
    </row>
    <row r="50" spans="1:189" ht="15.75" thickBot="1" x14ac:dyDescent="0.3">
      <c r="A50" s="657"/>
      <c r="B50" s="657"/>
      <c r="C50" s="657"/>
      <c r="D50" s="657"/>
      <c r="E50" s="657"/>
      <c r="F50" s="657"/>
      <c r="G50" s="657"/>
      <c r="H50" s="657"/>
      <c r="I50" s="657"/>
      <c r="J50" s="657"/>
      <c r="K50" s="657"/>
      <c r="L50" s="657"/>
      <c r="M50" s="657"/>
      <c r="N50" s="657"/>
      <c r="O50" s="657"/>
      <c r="P50" s="657"/>
      <c r="Q50" s="657"/>
      <c r="R50" s="657"/>
      <c r="S50" s="657"/>
      <c r="T50" s="657"/>
      <c r="U50" s="657"/>
      <c r="V50" s="657"/>
      <c r="W50" s="657"/>
      <c r="X50" s="657"/>
      <c r="Y50" s="554"/>
      <c r="Z50" s="555"/>
      <c r="AA50" s="555"/>
      <c r="AB50" s="555"/>
      <c r="AC50" s="555"/>
      <c r="AD50" s="555"/>
      <c r="AE50" s="555"/>
      <c r="AF50" s="555"/>
      <c r="AG50" s="555"/>
      <c r="AH50" s="558"/>
      <c r="AI50" s="679" t="s">
        <v>81</v>
      </c>
      <c r="AJ50" s="434"/>
      <c r="AK50" s="434"/>
      <c r="AL50" s="252"/>
      <c r="AM50" s="252"/>
      <c r="AN50" s="252"/>
      <c r="AO50" s="252"/>
      <c r="AP50" s="252"/>
      <c r="AQ50" s="252"/>
      <c r="AR50" s="252"/>
      <c r="AS50" s="252"/>
      <c r="AT50" s="252"/>
      <c r="AU50" s="252"/>
      <c r="AV50" s="253"/>
      <c r="AW50" s="697"/>
      <c r="AX50" s="698"/>
      <c r="AY50" s="698"/>
      <c r="AZ50" s="698"/>
      <c r="BA50" s="698"/>
      <c r="BB50" s="698"/>
      <c r="BC50" s="698"/>
      <c r="BD50" s="698"/>
      <c r="BE50" s="698"/>
      <c r="BF50" s="698"/>
      <c r="BG50" s="698"/>
      <c r="BH50" s="698"/>
      <c r="BI50" s="698"/>
      <c r="BJ50" s="698"/>
      <c r="BK50" s="698"/>
      <c r="BL50" s="681"/>
      <c r="BM50" s="681"/>
      <c r="BN50" s="681"/>
      <c r="BO50" s="681"/>
      <c r="BP50" s="681"/>
      <c r="BQ50" s="681"/>
      <c r="BR50" s="681"/>
      <c r="BS50" s="681"/>
      <c r="BT50" s="682"/>
      <c r="BU50" s="299"/>
      <c r="BV50" s="300"/>
      <c r="BW50" s="300"/>
      <c r="BX50" s="300"/>
      <c r="BY50" s="300"/>
      <c r="BZ50" s="300"/>
      <c r="CA50" s="300"/>
      <c r="CB50" s="300"/>
      <c r="CC50" s="300"/>
      <c r="CD50" s="300"/>
      <c r="CE50" s="300"/>
      <c r="CF50" s="300"/>
      <c r="CG50" s="300"/>
      <c r="CH50" s="300"/>
      <c r="CI50" s="300"/>
      <c r="CJ50" s="681"/>
      <c r="CK50" s="681"/>
      <c r="CL50" s="681"/>
      <c r="CM50" s="681"/>
      <c r="CN50" s="681"/>
      <c r="CO50" s="681"/>
      <c r="CP50" s="681"/>
      <c r="CQ50" s="681"/>
      <c r="CR50" s="682"/>
      <c r="CS50" s="657"/>
      <c r="CT50" s="657"/>
      <c r="CU50" s="657"/>
      <c r="CV50" s="657"/>
      <c r="CW50" s="657"/>
      <c r="CX50" s="657"/>
      <c r="CY50" s="657"/>
      <c r="CZ50" s="657"/>
      <c r="DA50" s="657"/>
      <c r="DB50" s="657"/>
      <c r="DC50" s="657"/>
      <c r="DD50" s="657"/>
      <c r="DE50" s="657"/>
      <c r="DF50" s="657"/>
      <c r="DG50" s="657"/>
      <c r="DH50" s="657"/>
      <c r="DI50" s="657"/>
      <c r="DJ50" s="657"/>
      <c r="DK50" s="657"/>
      <c r="DL50" s="657"/>
      <c r="DM50" s="657"/>
      <c r="DN50" s="657"/>
      <c r="DO50" s="657"/>
      <c r="DP50" s="657"/>
      <c r="DQ50" s="554"/>
      <c r="DR50" s="555"/>
      <c r="DS50" s="555"/>
      <c r="DT50" s="555"/>
      <c r="DU50" s="555"/>
      <c r="DV50" s="555"/>
      <c r="DW50" s="555"/>
      <c r="DX50" s="555"/>
      <c r="DY50" s="555"/>
      <c r="DZ50" s="558"/>
      <c r="EA50" s="679" t="s">
        <v>33</v>
      </c>
      <c r="EB50" s="434"/>
      <c r="EC50" s="434"/>
      <c r="ED50" s="18">
        <f>ED49*AL50*3</f>
        <v>0</v>
      </c>
      <c r="EE50" s="18">
        <f>EE49*AM50*4</f>
        <v>0</v>
      </c>
      <c r="EF50" s="18">
        <f t="shared" ref="EF50:EN50" si="44">EF49*AN50*4</f>
        <v>0</v>
      </c>
      <c r="EG50" s="18">
        <f t="shared" si="44"/>
        <v>0</v>
      </c>
      <c r="EH50" s="18">
        <f t="shared" si="44"/>
        <v>0</v>
      </c>
      <c r="EI50" s="18">
        <f t="shared" si="44"/>
        <v>0</v>
      </c>
      <c r="EJ50" s="18">
        <f t="shared" si="44"/>
        <v>0</v>
      </c>
      <c r="EK50" s="18">
        <f t="shared" si="44"/>
        <v>0</v>
      </c>
      <c r="EL50" s="18">
        <f t="shared" si="44"/>
        <v>0</v>
      </c>
      <c r="EM50" s="18">
        <f t="shared" si="44"/>
        <v>0</v>
      </c>
      <c r="EN50" s="21">
        <f t="shared" si="44"/>
        <v>0</v>
      </c>
      <c r="EO50" s="657"/>
      <c r="EP50" s="657"/>
      <c r="EQ50" s="657"/>
      <c r="ER50" s="657"/>
      <c r="ES50" s="657"/>
      <c r="ET50" s="657"/>
      <c r="EU50" s="657"/>
      <c r="EV50" s="657"/>
      <c r="EW50" s="657"/>
      <c r="EX50" s="657"/>
      <c r="EY50" s="657"/>
      <c r="EZ50" s="657"/>
      <c r="FA50" s="657"/>
      <c r="FB50" s="657"/>
      <c r="FC50" s="657"/>
      <c r="FD50" s="657"/>
      <c r="FE50" s="657"/>
      <c r="FF50" s="657"/>
      <c r="FG50" s="657"/>
      <c r="FH50" s="657"/>
      <c r="FI50" s="657"/>
      <c r="FJ50" s="657"/>
      <c r="FK50" s="657"/>
      <c r="FL50" s="657"/>
      <c r="FM50" s="657"/>
      <c r="FN50" s="657"/>
      <c r="FO50" s="657"/>
      <c r="FP50" s="657"/>
      <c r="FQ50" s="657"/>
      <c r="FR50" s="657"/>
      <c r="FS50" s="657"/>
      <c r="FT50" s="657"/>
      <c r="FU50" s="657"/>
      <c r="FV50" s="657"/>
      <c r="FW50" s="657"/>
      <c r="FX50" s="657"/>
      <c r="FY50" s="657"/>
      <c r="FZ50" s="657"/>
      <c r="GA50" s="657"/>
      <c r="GB50" s="657"/>
      <c r="GC50" s="657"/>
      <c r="GD50" s="657"/>
      <c r="GE50" s="657"/>
      <c r="GF50" s="657"/>
      <c r="GG50" s="657"/>
    </row>
    <row r="51" spans="1:189" ht="15" customHeight="1" x14ac:dyDescent="0.25"/>
    <row r="54" spans="1:189" ht="15" customHeight="1" x14ac:dyDescent="0.25"/>
  </sheetData>
  <sheetProtection password="E9C2" sheet="1" objects="1" scenarios="1" selectLockedCells="1"/>
  <mergeCells count="578">
    <mergeCell ref="FY23:GB23"/>
    <mergeCell ref="FY24:GB24"/>
    <mergeCell ref="FY25:GB25"/>
    <mergeCell ref="FY26:GB26"/>
    <mergeCell ref="FY27:GB27"/>
    <mergeCell ref="FY28:GB28"/>
    <mergeCell ref="FY29:GB29"/>
    <mergeCell ref="FY30:GB30"/>
    <mergeCell ref="FY31:GB31"/>
    <mergeCell ref="FY14:GB14"/>
    <mergeCell ref="FY15:GB15"/>
    <mergeCell ref="FY16:GB16"/>
    <mergeCell ref="FY17:GB17"/>
    <mergeCell ref="FY18:GB18"/>
    <mergeCell ref="FY19:GB19"/>
    <mergeCell ref="FY20:GB20"/>
    <mergeCell ref="FY21:GB21"/>
    <mergeCell ref="FY22:GB22"/>
    <mergeCell ref="FP24:FS24"/>
    <mergeCell ref="FP25:FS25"/>
    <mergeCell ref="FP26:FS26"/>
    <mergeCell ref="FP27:FS27"/>
    <mergeCell ref="FP28:FS28"/>
    <mergeCell ref="FP29:FS29"/>
    <mergeCell ref="FP30:FS30"/>
    <mergeCell ref="FP31:FS31"/>
    <mergeCell ref="FP32:FS32"/>
    <mergeCell ref="FP15:FS15"/>
    <mergeCell ref="FP16:FS16"/>
    <mergeCell ref="FP17:FS17"/>
    <mergeCell ref="FP18:FS18"/>
    <mergeCell ref="FP19:FS19"/>
    <mergeCell ref="FP20:FS20"/>
    <mergeCell ref="FP21:FS21"/>
    <mergeCell ref="FP22:FS22"/>
    <mergeCell ref="FP23:FS23"/>
    <mergeCell ref="FP6:FS6"/>
    <mergeCell ref="FP7:FS7"/>
    <mergeCell ref="FP8:FS8"/>
    <mergeCell ref="FP9:FS9"/>
    <mergeCell ref="FP10:FS10"/>
    <mergeCell ref="FP11:FS11"/>
    <mergeCell ref="FP12:FS12"/>
    <mergeCell ref="FP13:FS13"/>
    <mergeCell ref="FP14:FS14"/>
    <mergeCell ref="FG27:FJ27"/>
    <mergeCell ref="FG28:FJ28"/>
    <mergeCell ref="FG29:FJ29"/>
    <mergeCell ref="FG30:FJ30"/>
    <mergeCell ref="FG31:FJ31"/>
    <mergeCell ref="FG32:FJ32"/>
    <mergeCell ref="FG33:FJ33"/>
    <mergeCell ref="FG34:FJ34"/>
    <mergeCell ref="FG35:FJ35"/>
    <mergeCell ref="FG18:FJ18"/>
    <mergeCell ref="FG19:FJ19"/>
    <mergeCell ref="FG20:FJ20"/>
    <mergeCell ref="FG21:FJ21"/>
    <mergeCell ref="FG22:FJ22"/>
    <mergeCell ref="FG23:FJ23"/>
    <mergeCell ref="FG24:FJ24"/>
    <mergeCell ref="FG25:FJ25"/>
    <mergeCell ref="FG26:FJ26"/>
    <mergeCell ref="EX29:FA29"/>
    <mergeCell ref="EX30:FA30"/>
    <mergeCell ref="EX31:FA31"/>
    <mergeCell ref="EX32:FA32"/>
    <mergeCell ref="EX33:FA33"/>
    <mergeCell ref="EX34:FA34"/>
    <mergeCell ref="EX35:FA35"/>
    <mergeCell ref="EX36:FA36"/>
    <mergeCell ref="EO1:GG2"/>
    <mergeCell ref="EO3:EW5"/>
    <mergeCell ref="EX3:FF5"/>
    <mergeCell ref="FG3:FO5"/>
    <mergeCell ref="FG6:FJ6"/>
    <mergeCell ref="FG7:FJ7"/>
    <mergeCell ref="FG8:FJ8"/>
    <mergeCell ref="FG9:FJ9"/>
    <mergeCell ref="FG10:FJ10"/>
    <mergeCell ref="FG11:FJ11"/>
    <mergeCell ref="FG12:FJ12"/>
    <mergeCell ref="FG13:FJ13"/>
    <mergeCell ref="FG14:FJ14"/>
    <mergeCell ref="FG15:FJ15"/>
    <mergeCell ref="FG16:FJ16"/>
    <mergeCell ref="FG17:FJ17"/>
    <mergeCell ref="EO36:ER36"/>
    <mergeCell ref="EX6:FA6"/>
    <mergeCell ref="EX7:FA7"/>
    <mergeCell ref="EX8:FA8"/>
    <mergeCell ref="EX9:FA9"/>
    <mergeCell ref="EX10:FA10"/>
    <mergeCell ref="EX11:FA11"/>
    <mergeCell ref="EX12:FA12"/>
    <mergeCell ref="EX13:FA13"/>
    <mergeCell ref="EX14:FA14"/>
    <mergeCell ref="EX15:FA15"/>
    <mergeCell ref="EX16:FA16"/>
    <mergeCell ref="EX17:FA17"/>
    <mergeCell ref="EX18:FA18"/>
    <mergeCell ref="EX19:FA19"/>
    <mergeCell ref="EX20:FA20"/>
    <mergeCell ref="EX21:FA21"/>
    <mergeCell ref="EX22:FA22"/>
    <mergeCell ref="EX23:FA23"/>
    <mergeCell ref="EX24:FA24"/>
    <mergeCell ref="EX25:FA25"/>
    <mergeCell ref="EX26:FA26"/>
    <mergeCell ref="EX27:FA27"/>
    <mergeCell ref="EX28:FA28"/>
    <mergeCell ref="FG36:FJ36"/>
    <mergeCell ref="FP33:FS33"/>
    <mergeCell ref="FP34:FS34"/>
    <mergeCell ref="FP35:FS35"/>
    <mergeCell ref="FP36:FS36"/>
    <mergeCell ref="FY32:GB32"/>
    <mergeCell ref="FY33:GB33"/>
    <mergeCell ref="FY34:GB34"/>
    <mergeCell ref="FY35:GB35"/>
    <mergeCell ref="FY36:GB36"/>
    <mergeCell ref="EO37:GG50"/>
    <mergeCell ref="FY3:GG5"/>
    <mergeCell ref="FY6:GB6"/>
    <mergeCell ref="FY7:GB7"/>
    <mergeCell ref="FY8:GB8"/>
    <mergeCell ref="FY9:GB9"/>
    <mergeCell ref="FY10:GB10"/>
    <mergeCell ref="FY11:GB11"/>
    <mergeCell ref="FY12:GB12"/>
    <mergeCell ref="FY13:GB13"/>
    <mergeCell ref="FP3:FX5"/>
    <mergeCell ref="EO6:ER6"/>
    <mergeCell ref="EO7:ER7"/>
    <mergeCell ref="EO19:ER19"/>
    <mergeCell ref="EO16:ER16"/>
    <mergeCell ref="EO17:ER17"/>
    <mergeCell ref="EO18:ER18"/>
    <mergeCell ref="EO20:ER20"/>
    <mergeCell ref="EO24:ER24"/>
    <mergeCell ref="EO30:ER30"/>
    <mergeCell ref="EO23:ER23"/>
    <mergeCell ref="EO11:ER11"/>
    <mergeCell ref="EO12:ER12"/>
    <mergeCell ref="EO13:ER13"/>
    <mergeCell ref="EO14:ER14"/>
    <mergeCell ref="EO15:ER15"/>
    <mergeCell ref="EO21:ER21"/>
    <mergeCell ref="EO22:ER22"/>
    <mergeCell ref="EO25:ER25"/>
    <mergeCell ref="EO26:ER26"/>
    <mergeCell ref="EO27:ER27"/>
    <mergeCell ref="EO28:ER28"/>
    <mergeCell ref="EO29:ER29"/>
    <mergeCell ref="EO31:ER31"/>
    <mergeCell ref="EO32:ER32"/>
    <mergeCell ref="EO33:ER33"/>
    <mergeCell ref="EO34:ER34"/>
    <mergeCell ref="EO35:ER35"/>
    <mergeCell ref="EO8:ER8"/>
    <mergeCell ref="EO9:ER9"/>
    <mergeCell ref="EO10:ER10"/>
    <mergeCell ref="Y27:AC28"/>
    <mergeCell ref="AD27:AE28"/>
    <mergeCell ref="Y29:AE32"/>
    <mergeCell ref="AI33:AM38"/>
    <mergeCell ref="AF27:AM32"/>
    <mergeCell ref="AN18:AQ18"/>
    <mergeCell ref="Y19:AB19"/>
    <mergeCell ref="AN19:AQ19"/>
    <mergeCell ref="Y20:AB20"/>
    <mergeCell ref="AN20:AQ20"/>
    <mergeCell ref="Y15:AB15"/>
    <mergeCell ref="AN15:AQ15"/>
    <mergeCell ref="Y16:AB16"/>
    <mergeCell ref="AN16:AQ16"/>
    <mergeCell ref="Y17:AB17"/>
    <mergeCell ref="AN17:AQ17"/>
    <mergeCell ref="A24:D24"/>
    <mergeCell ref="P3:S3"/>
    <mergeCell ref="P4:S4"/>
    <mergeCell ref="P5:S5"/>
    <mergeCell ref="A18:D18"/>
    <mergeCell ref="A19:D19"/>
    <mergeCell ref="A20:D20"/>
    <mergeCell ref="A21:D21"/>
    <mergeCell ref="A22:D22"/>
    <mergeCell ref="A23:D23"/>
    <mergeCell ref="A13:D13"/>
    <mergeCell ref="A14:D14"/>
    <mergeCell ref="A5:D5"/>
    <mergeCell ref="P18:S18"/>
    <mergeCell ref="P19:S19"/>
    <mergeCell ref="P20:S20"/>
    <mergeCell ref="P21:S21"/>
    <mergeCell ref="P22:S22"/>
    <mergeCell ref="P38:S38"/>
    <mergeCell ref="A1:X2"/>
    <mergeCell ref="Y1:AV2"/>
    <mergeCell ref="AW1:BT2"/>
    <mergeCell ref="BU1:CR2"/>
    <mergeCell ref="CS1:DP2"/>
    <mergeCell ref="A15:D15"/>
    <mergeCell ref="A16:D16"/>
    <mergeCell ref="A17:D17"/>
    <mergeCell ref="A7:D7"/>
    <mergeCell ref="A8:D8"/>
    <mergeCell ref="A9:D9"/>
    <mergeCell ref="A10:D10"/>
    <mergeCell ref="A11:D11"/>
    <mergeCell ref="A12:D12"/>
    <mergeCell ref="P6:S6"/>
    <mergeCell ref="P7:S7"/>
    <mergeCell ref="A3:C4"/>
    <mergeCell ref="P15:S15"/>
    <mergeCell ref="P16:S16"/>
    <mergeCell ref="P17:S17"/>
    <mergeCell ref="A6:D6"/>
    <mergeCell ref="Y6:AB6"/>
    <mergeCell ref="AN6:AQ6"/>
    <mergeCell ref="Y7:AB7"/>
    <mergeCell ref="P8:S8"/>
    <mergeCell ref="A25:E26"/>
    <mergeCell ref="P33:S33"/>
    <mergeCell ref="P34:S34"/>
    <mergeCell ref="P35:S35"/>
    <mergeCell ref="P36:S36"/>
    <mergeCell ref="P37:S37"/>
    <mergeCell ref="P28:S28"/>
    <mergeCell ref="P29:S29"/>
    <mergeCell ref="P30:S30"/>
    <mergeCell ref="P31:S31"/>
    <mergeCell ref="P32:S32"/>
    <mergeCell ref="P23:S23"/>
    <mergeCell ref="P24:S24"/>
    <mergeCell ref="P25:S25"/>
    <mergeCell ref="P26:S26"/>
    <mergeCell ref="P27:S27"/>
    <mergeCell ref="P9:S9"/>
    <mergeCell ref="P10:S10"/>
    <mergeCell ref="P11:S11"/>
    <mergeCell ref="P12:S12"/>
    <mergeCell ref="P13:S13"/>
    <mergeCell ref="P14:S14"/>
    <mergeCell ref="A27:O50"/>
    <mergeCell ref="AN7:AQ7"/>
    <mergeCell ref="Y8:AB8"/>
    <mergeCell ref="AN8:AQ8"/>
    <mergeCell ref="Y3:AA4"/>
    <mergeCell ref="AN3:AQ3"/>
    <mergeCell ref="AN4:AQ4"/>
    <mergeCell ref="Y5:AB5"/>
    <mergeCell ref="AN5:AQ5"/>
    <mergeCell ref="Y12:AB12"/>
    <mergeCell ref="AN12:AQ12"/>
    <mergeCell ref="Y13:AB13"/>
    <mergeCell ref="AN13:AQ13"/>
    <mergeCell ref="Y14:AB14"/>
    <mergeCell ref="AN14:AQ14"/>
    <mergeCell ref="Y9:AB9"/>
    <mergeCell ref="AN9:AQ9"/>
    <mergeCell ref="Y10:AB10"/>
    <mergeCell ref="AN10:AQ10"/>
    <mergeCell ref="Y11:AB11"/>
    <mergeCell ref="AN11:AQ11"/>
    <mergeCell ref="AE35:AH36"/>
    <mergeCell ref="AE37:AH38"/>
    <mergeCell ref="Y18:AB18"/>
    <mergeCell ref="Y24:AB24"/>
    <mergeCell ref="AN24:AQ24"/>
    <mergeCell ref="Y25:AC26"/>
    <mergeCell ref="AN25:AQ25"/>
    <mergeCell ref="AN26:AQ26"/>
    <mergeCell ref="Y21:AB21"/>
    <mergeCell ref="AN21:AQ21"/>
    <mergeCell ref="Y22:AB22"/>
    <mergeCell ref="AN22:AQ22"/>
    <mergeCell ref="Y23:AB23"/>
    <mergeCell ref="BL8:BO8"/>
    <mergeCell ref="AW9:AZ9"/>
    <mergeCell ref="BL9:BO9"/>
    <mergeCell ref="AW10:AZ10"/>
    <mergeCell ref="AN32:AQ32"/>
    <mergeCell ref="AN33:AQ33"/>
    <mergeCell ref="AN34:AQ34"/>
    <mergeCell ref="AW12:AZ12"/>
    <mergeCell ref="BL12:BO12"/>
    <mergeCell ref="AW19:AZ19"/>
    <mergeCell ref="BL19:BO19"/>
    <mergeCell ref="AW20:AZ20"/>
    <mergeCell ref="BL20:BO20"/>
    <mergeCell ref="AW21:AZ21"/>
    <mergeCell ref="BL21:BO21"/>
    <mergeCell ref="AW16:AZ16"/>
    <mergeCell ref="BL16:BO16"/>
    <mergeCell ref="AW17:AZ17"/>
    <mergeCell ref="BL17:BO17"/>
    <mergeCell ref="AW18:AZ18"/>
    <mergeCell ref="BL18:BO18"/>
    <mergeCell ref="AW25:BA26"/>
    <mergeCell ref="AN28:AQ28"/>
    <mergeCell ref="AN29:AQ29"/>
    <mergeCell ref="AN30:AQ30"/>
    <mergeCell ref="AN31:AQ31"/>
    <mergeCell ref="AW3:AY4"/>
    <mergeCell ref="BL3:BO3"/>
    <mergeCell ref="BL4:BO4"/>
    <mergeCell ref="AW5:AZ5"/>
    <mergeCell ref="BL5:BO5"/>
    <mergeCell ref="AW6:AZ6"/>
    <mergeCell ref="BL6:BO6"/>
    <mergeCell ref="AW7:AZ7"/>
    <mergeCell ref="BL7:BO7"/>
    <mergeCell ref="AW13:AZ13"/>
    <mergeCell ref="BL13:BO13"/>
    <mergeCell ref="AW14:AZ14"/>
    <mergeCell ref="BL14:BO14"/>
    <mergeCell ref="AW15:AZ15"/>
    <mergeCell ref="BL15:BO15"/>
    <mergeCell ref="BL10:BO10"/>
    <mergeCell ref="AW11:AZ11"/>
    <mergeCell ref="BL11:BO11"/>
    <mergeCell ref="AN23:AQ23"/>
    <mergeCell ref="AW8:AZ8"/>
    <mergeCell ref="BL25:BO25"/>
    <mergeCell ref="BL26:BO26"/>
    <mergeCell ref="BL27:BO27"/>
    <mergeCell ref="BL28:BO28"/>
    <mergeCell ref="AW22:AZ22"/>
    <mergeCell ref="BL22:BO22"/>
    <mergeCell ref="AW23:AZ23"/>
    <mergeCell ref="BL23:BO23"/>
    <mergeCell ref="AW24:AZ24"/>
    <mergeCell ref="BL24:BO24"/>
    <mergeCell ref="AW27:BK50"/>
    <mergeCell ref="BU6:BX6"/>
    <mergeCell ref="CJ6:CM6"/>
    <mergeCell ref="BU7:BX7"/>
    <mergeCell ref="CJ7:CM7"/>
    <mergeCell ref="BU8:BX8"/>
    <mergeCell ref="CJ8:CM8"/>
    <mergeCell ref="BU3:BW4"/>
    <mergeCell ref="CJ3:CM3"/>
    <mergeCell ref="CJ4:CM4"/>
    <mergeCell ref="BU5:BX5"/>
    <mergeCell ref="CJ5:CM5"/>
    <mergeCell ref="BU12:BX12"/>
    <mergeCell ref="CJ12:CM12"/>
    <mergeCell ref="BU13:BX13"/>
    <mergeCell ref="CJ13:CM13"/>
    <mergeCell ref="BU14:BX14"/>
    <mergeCell ref="CJ14:CM14"/>
    <mergeCell ref="BU9:BX9"/>
    <mergeCell ref="CJ9:CM9"/>
    <mergeCell ref="BU10:BX10"/>
    <mergeCell ref="CJ10:CM10"/>
    <mergeCell ref="BU11:BX11"/>
    <mergeCell ref="CJ11:CM11"/>
    <mergeCell ref="BU18:BX18"/>
    <mergeCell ref="CJ18:CM18"/>
    <mergeCell ref="BU19:BX19"/>
    <mergeCell ref="CJ19:CM19"/>
    <mergeCell ref="BU20:BX20"/>
    <mergeCell ref="CJ20:CM20"/>
    <mergeCell ref="BU15:BX15"/>
    <mergeCell ref="CJ15:CM15"/>
    <mergeCell ref="BU16:BX16"/>
    <mergeCell ref="CJ16:CM16"/>
    <mergeCell ref="BU17:BX17"/>
    <mergeCell ref="CJ17:CM17"/>
    <mergeCell ref="BU24:BX24"/>
    <mergeCell ref="CJ24:CM24"/>
    <mergeCell ref="BU25:BY26"/>
    <mergeCell ref="CJ25:CM25"/>
    <mergeCell ref="CJ26:CM26"/>
    <mergeCell ref="BU21:BX21"/>
    <mergeCell ref="CJ21:CM21"/>
    <mergeCell ref="BU22:BX22"/>
    <mergeCell ref="CJ22:CM22"/>
    <mergeCell ref="BU23:BX23"/>
    <mergeCell ref="CJ23:CM23"/>
    <mergeCell ref="DH10:DK10"/>
    <mergeCell ref="CS11:CV11"/>
    <mergeCell ref="DH11:DK11"/>
    <mergeCell ref="CS12:CV12"/>
    <mergeCell ref="DH12:DK12"/>
    <mergeCell ref="CJ37:CM37"/>
    <mergeCell ref="CJ38:CM38"/>
    <mergeCell ref="CS3:CU4"/>
    <mergeCell ref="DH3:DK3"/>
    <mergeCell ref="DH4:DK4"/>
    <mergeCell ref="CS5:CV5"/>
    <mergeCell ref="DH5:DK5"/>
    <mergeCell ref="CS6:CV6"/>
    <mergeCell ref="DH6:DK6"/>
    <mergeCell ref="CS7:CV7"/>
    <mergeCell ref="DH7:DK7"/>
    <mergeCell ref="CS8:CV8"/>
    <mergeCell ref="DH8:DK8"/>
    <mergeCell ref="CS9:CV9"/>
    <mergeCell ref="DH9:DK9"/>
    <mergeCell ref="CS10:CV10"/>
    <mergeCell ref="CJ32:CM32"/>
    <mergeCell ref="CJ33:CM33"/>
    <mergeCell ref="CJ34:CM34"/>
    <mergeCell ref="CS16:CV16"/>
    <mergeCell ref="DH16:DK16"/>
    <mergeCell ref="CS17:CV17"/>
    <mergeCell ref="DH17:DK17"/>
    <mergeCell ref="CS18:CV18"/>
    <mergeCell ref="DH18:DK18"/>
    <mergeCell ref="CS13:CV13"/>
    <mergeCell ref="DH13:DK13"/>
    <mergeCell ref="CS14:CV14"/>
    <mergeCell ref="DH14:DK14"/>
    <mergeCell ref="CS15:CV15"/>
    <mergeCell ref="DH15:DK15"/>
    <mergeCell ref="CS22:CV22"/>
    <mergeCell ref="DH22:DK22"/>
    <mergeCell ref="CS23:CV23"/>
    <mergeCell ref="DH23:DK23"/>
    <mergeCell ref="CS24:CV24"/>
    <mergeCell ref="DH24:DK24"/>
    <mergeCell ref="CS19:CV19"/>
    <mergeCell ref="DH19:DK19"/>
    <mergeCell ref="CS20:CV20"/>
    <mergeCell ref="DH20:DK20"/>
    <mergeCell ref="CS21:CV21"/>
    <mergeCell ref="DH21:DK21"/>
    <mergeCell ref="DQ3:DS4"/>
    <mergeCell ref="EF3:EI3"/>
    <mergeCell ref="EF4:EI4"/>
    <mergeCell ref="DQ5:DT5"/>
    <mergeCell ref="EF5:EI5"/>
    <mergeCell ref="DQ1:EN2"/>
    <mergeCell ref="AE33:AH34"/>
    <mergeCell ref="DH34:DK34"/>
    <mergeCell ref="DH35:DK35"/>
    <mergeCell ref="DH29:DK29"/>
    <mergeCell ref="DH30:DK30"/>
    <mergeCell ref="DH31:DK31"/>
    <mergeCell ref="DH32:DK32"/>
    <mergeCell ref="DH33:DK33"/>
    <mergeCell ref="DQ9:DT9"/>
    <mergeCell ref="EF9:EI9"/>
    <mergeCell ref="DQ10:DT10"/>
    <mergeCell ref="EF10:EI10"/>
    <mergeCell ref="DQ11:DT11"/>
    <mergeCell ref="EF11:EI11"/>
    <mergeCell ref="DQ6:DT6"/>
    <mergeCell ref="CS25:CW26"/>
    <mergeCell ref="DH25:DK25"/>
    <mergeCell ref="DH26:DK26"/>
    <mergeCell ref="EF6:EI6"/>
    <mergeCell ref="DQ7:DT7"/>
    <mergeCell ref="EF7:EI7"/>
    <mergeCell ref="DQ8:DT8"/>
    <mergeCell ref="EF8:EI8"/>
    <mergeCell ref="DQ15:DT15"/>
    <mergeCell ref="EF15:EI15"/>
    <mergeCell ref="DQ16:DT16"/>
    <mergeCell ref="EF16:EI16"/>
    <mergeCell ref="DQ17:DT17"/>
    <mergeCell ref="EF17:EI17"/>
    <mergeCell ref="DQ12:DT12"/>
    <mergeCell ref="EF12:EI12"/>
    <mergeCell ref="DQ13:DT13"/>
    <mergeCell ref="EF13:EI13"/>
    <mergeCell ref="DQ14:DT14"/>
    <mergeCell ref="EF14:EI14"/>
    <mergeCell ref="DQ21:DT21"/>
    <mergeCell ref="EF21:EI21"/>
    <mergeCell ref="DQ22:DT22"/>
    <mergeCell ref="EF22:EI22"/>
    <mergeCell ref="DQ23:DT23"/>
    <mergeCell ref="EF23:EI23"/>
    <mergeCell ref="DQ18:DT18"/>
    <mergeCell ref="EF18:EI18"/>
    <mergeCell ref="DQ19:DT19"/>
    <mergeCell ref="EF19:EI19"/>
    <mergeCell ref="DQ20:DT20"/>
    <mergeCell ref="EF20:EI20"/>
    <mergeCell ref="EF38:EI38"/>
    <mergeCell ref="DQ24:DT24"/>
    <mergeCell ref="EF24:EI24"/>
    <mergeCell ref="DQ25:DU26"/>
    <mergeCell ref="EF25:EI25"/>
    <mergeCell ref="EF26:EI26"/>
    <mergeCell ref="EF27:EI27"/>
    <mergeCell ref="EF28:EI28"/>
    <mergeCell ref="EF29:EI29"/>
    <mergeCell ref="EF30:EI30"/>
    <mergeCell ref="EF31:EI31"/>
    <mergeCell ref="EF32:EI32"/>
    <mergeCell ref="EF33:EI33"/>
    <mergeCell ref="EF34:EI34"/>
    <mergeCell ref="EF35:EI35"/>
    <mergeCell ref="DY27:DZ27"/>
    <mergeCell ref="DV28:DX28"/>
    <mergeCell ref="DY28:DZ28"/>
    <mergeCell ref="DQ27:DU28"/>
    <mergeCell ref="DV27:DX27"/>
    <mergeCell ref="EA27:EE28"/>
    <mergeCell ref="DH27:DK27"/>
    <mergeCell ref="DH28:DK28"/>
    <mergeCell ref="CJ35:CM35"/>
    <mergeCell ref="CJ36:CM36"/>
    <mergeCell ref="CJ27:CM27"/>
    <mergeCell ref="CJ28:CM28"/>
    <mergeCell ref="CJ29:CM29"/>
    <mergeCell ref="EF36:EI36"/>
    <mergeCell ref="EF37:EI37"/>
    <mergeCell ref="EA48:EC48"/>
    <mergeCell ref="EA49:EC49"/>
    <mergeCell ref="EA50:EC50"/>
    <mergeCell ref="EA39:EC39"/>
    <mergeCell ref="EA40:EC40"/>
    <mergeCell ref="EA41:EC41"/>
    <mergeCell ref="DH36:DK36"/>
    <mergeCell ref="DH37:DK37"/>
    <mergeCell ref="DH38:DK38"/>
    <mergeCell ref="AI49:AK49"/>
    <mergeCell ref="AI50:AK50"/>
    <mergeCell ref="Y39:AH40"/>
    <mergeCell ref="Y41:AH42"/>
    <mergeCell ref="CJ30:CM30"/>
    <mergeCell ref="CJ31:CM31"/>
    <mergeCell ref="DQ39:DZ40"/>
    <mergeCell ref="DQ41:DZ42"/>
    <mergeCell ref="CJ39:CR50"/>
    <mergeCell ref="DQ43:DZ44"/>
    <mergeCell ref="DQ45:DZ46"/>
    <mergeCell ref="DQ47:DZ48"/>
    <mergeCell ref="DQ49:DZ50"/>
    <mergeCell ref="DQ29:EE38"/>
    <mergeCell ref="DH39:DP50"/>
    <mergeCell ref="CS27:DG50"/>
    <mergeCell ref="BU27:CI50"/>
    <mergeCell ref="BL39:BT50"/>
    <mergeCell ref="EA42:EC42"/>
    <mergeCell ref="EA43:EC43"/>
    <mergeCell ref="EA44:EC44"/>
    <mergeCell ref="EA45:EC45"/>
    <mergeCell ref="EA46:EC46"/>
    <mergeCell ref="EA47:EC47"/>
    <mergeCell ref="AI40:AK40"/>
    <mergeCell ref="AI41:AK41"/>
    <mergeCell ref="AI42:AK42"/>
    <mergeCell ref="AI43:AK43"/>
    <mergeCell ref="AI44:AK44"/>
    <mergeCell ref="AI45:AK45"/>
    <mergeCell ref="AI46:AK46"/>
    <mergeCell ref="AI47:AK47"/>
    <mergeCell ref="AI48:AK48"/>
    <mergeCell ref="AN27:AQ27"/>
    <mergeCell ref="P39:X50"/>
    <mergeCell ref="Y43:AH44"/>
    <mergeCell ref="Y45:AH46"/>
    <mergeCell ref="BL37:BO37"/>
    <mergeCell ref="BL38:BO38"/>
    <mergeCell ref="BL29:BO29"/>
    <mergeCell ref="BL30:BO30"/>
    <mergeCell ref="BL31:BO31"/>
    <mergeCell ref="BL32:BO32"/>
    <mergeCell ref="BL33:BO33"/>
    <mergeCell ref="AN37:AQ37"/>
    <mergeCell ref="AN38:AQ38"/>
    <mergeCell ref="AN36:AQ36"/>
    <mergeCell ref="Y35:AD36"/>
    <mergeCell ref="Y37:AD38"/>
    <mergeCell ref="Y33:AD34"/>
    <mergeCell ref="BL34:BO34"/>
    <mergeCell ref="BL35:BO35"/>
    <mergeCell ref="BL36:BO36"/>
    <mergeCell ref="AN35:AQ35"/>
    <mergeCell ref="Y47:AH48"/>
    <mergeCell ref="Y49:AH50"/>
    <mergeCell ref="AI39:AK39"/>
  </mergeCells>
  <conditionalFormatting sqref="AR9:AV38">
    <cfRule type="expression" dxfId="521" priority="29">
      <formula>OR(T9=1,BP9=1,CN9=1,DL9=1,ES7=1,FB7=1,FK7=1,FT7=1,GC7=1)</formula>
    </cfRule>
  </conditionalFormatting>
  <conditionalFormatting sqref="BP9:BT38">
    <cfRule type="expression" dxfId="520" priority="28">
      <formula>OR(T9=1,AR9=1,CN9=1,DL9=1,ES7=1,FB7=1,FK7=1,FT7=1,GC7=1)</formula>
    </cfRule>
  </conditionalFormatting>
  <conditionalFormatting sqref="ES7:EW36">
    <cfRule type="expression" dxfId="519" priority="27">
      <formula>OR(T9=1,BP9=1,CN9=1,DL9=1,AR9=1,FB7=1,FK7=1,FT7=1,GC7=1)</formula>
    </cfRule>
  </conditionalFormatting>
  <conditionalFormatting sqref="FB7:FF36">
    <cfRule type="expression" dxfId="518" priority="26">
      <formula>OR(T9=1,BP9=1,CN9=1,DL9=1,ES7=1,AR9=1,FK7=1,FT7=1,GC7=1)</formula>
    </cfRule>
  </conditionalFormatting>
  <conditionalFormatting sqref="FK7:FO36">
    <cfRule type="expression" dxfId="517" priority="25">
      <formula>OR(T9=1,BP9=1,CN9=1,DL9=1,ES7=1,FB7=1,AR9=1,FT7=1,GC7=1)</formula>
    </cfRule>
  </conditionalFormatting>
  <conditionalFormatting sqref="FT7:FX36">
    <cfRule type="expression" dxfId="516" priority="24">
      <formula>OR(T9=1,BP9=1,CN9=1,DL9=1,ES7=1,FB7=1,FK7=1,AR9=1,GC7=1)</formula>
    </cfRule>
  </conditionalFormatting>
  <conditionalFormatting sqref="GC7:GG36">
    <cfRule type="expression" dxfId="515" priority="23">
      <formula>OR(T9=1,BP9=1,CN9=1,DL9=1,ES7=1,FB7=1,FK7=1,FT7=1,AR9=1)</formula>
    </cfRule>
  </conditionalFormatting>
  <conditionalFormatting sqref="AD4:AM4">
    <cfRule type="expression" dxfId="514" priority="19">
      <formula>OR(F6=1,BB4=1,BZ4=1,CX4=1)</formula>
    </cfRule>
  </conditionalFormatting>
  <conditionalFormatting sqref="AD6:AM14">
    <cfRule type="expression" dxfId="513" priority="18">
      <formula>OR(F6=1,BB6=1,BZ6=1,CX6=1)</formula>
    </cfRule>
  </conditionalFormatting>
  <conditionalFormatting sqref="AC16:AM24">
    <cfRule type="expression" dxfId="512" priority="17">
      <formula>OR(E16=1,BA16=1,BY16=1,CW16=1)</formula>
    </cfRule>
  </conditionalFormatting>
  <conditionalFormatting sqref="AI26:AM26">
    <cfRule type="expression" dxfId="511" priority="16">
      <formula>OR(K26=1,BG26=1,CE26=1,DC26=1)</formula>
    </cfRule>
  </conditionalFormatting>
  <conditionalFormatting sqref="AS4:AV7">
    <cfRule type="expression" dxfId="510" priority="15">
      <formula>OR(U4=1,BQ4=1,CO4=1,DM4=1)</formula>
    </cfRule>
  </conditionalFormatting>
  <conditionalFormatting sqref="BB4:BK4">
    <cfRule type="expression" dxfId="509" priority="14">
      <formula>OR(F4=1,AD4=1,BZ4=1,CX4=1)</formula>
    </cfRule>
  </conditionalFormatting>
  <conditionalFormatting sqref="BB6:BK14">
    <cfRule type="expression" dxfId="508" priority="13">
      <formula>OR(F6=1,AD6=1,BZ6=1,CX6=1)</formula>
    </cfRule>
  </conditionalFormatting>
  <conditionalFormatting sqref="BA16:BK24">
    <cfRule type="expression" dxfId="507" priority="12">
      <formula>OR(E16=1,AC16=1,BY16=1,CW16=1)</formula>
    </cfRule>
  </conditionalFormatting>
  <conditionalFormatting sqref="BG26:BK26">
    <cfRule type="expression" dxfId="506" priority="11">
      <formula>OR(K26=1,AI26=1,CE26=1,DC26=1)</formula>
    </cfRule>
  </conditionalFormatting>
  <conditionalFormatting sqref="BQ4:BT7">
    <cfRule type="expression" dxfId="505" priority="10">
      <formula>OR(U4=1,AS4=1,CO4=1,DM4=1)</formula>
    </cfRule>
  </conditionalFormatting>
  <conditionalFormatting sqref="EX27:FF36">
    <cfRule type="expression" dxfId="504" priority="3">
      <formula>NOT($EX27="Science")</formula>
    </cfRule>
  </conditionalFormatting>
  <conditionalFormatting sqref="FP27:FX36">
    <cfRule type="expression" dxfId="503" priority="2">
      <formula>NOT($EX27="Science")</formula>
    </cfRule>
  </conditionalFormatting>
  <conditionalFormatting sqref="FG27:FO36 FY27:GG36">
    <cfRule type="expression" dxfId="502" priority="1">
      <formula>NOT(OR($FG27="Control",$FG27="Craft"))</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9" id="{5BF31F29-342B-4530-B848-D77A76C089FE}">
            <xm:f>CharacterSheet!$L$38="no"</xm:f>
            <x14:dxf>
              <fill>
                <patternFill>
                  <bgColor theme="1"/>
                </patternFill>
              </fill>
            </x14:dxf>
          </x14:cfRule>
          <xm:sqref>EX7:FF36 FP7:FX36</xm:sqref>
        </x14:conditionalFormatting>
        <x14:conditionalFormatting xmlns:xm="http://schemas.microsoft.com/office/excel/2006/main">
          <x14:cfRule type="expression" priority="8" id="{63FC7AAD-AB77-4809-AA89-BD8E12A61CAA}">
            <xm:f>CharacterSheet!$R$38="no"</xm:f>
            <x14:dxf>
              <fill>
                <patternFill>
                  <bgColor theme="1"/>
                </patternFill>
              </fill>
            </x14:dxf>
          </x14:cfRule>
          <xm:sqref>FG7:FO36 FY7:GG36</xm:sqref>
        </x14:conditionalFormatting>
        <x14:conditionalFormatting xmlns:xm="http://schemas.microsoft.com/office/excel/2006/main">
          <x14:cfRule type="expression" priority="7" id="{DEEA486E-BF19-43D9-8FFA-3FB8AFC97DAA}">
            <xm:f>CharacterSheet!$L$38="Yes"</xm:f>
            <x14:dxf>
              <fill>
                <patternFill>
                  <bgColor theme="1"/>
                </patternFill>
              </fill>
            </x14:dxf>
          </x14:cfRule>
          <xm:sqref>AR9:AV9 AR21:AV21 AR23:AV24</xm:sqref>
        </x14:conditionalFormatting>
        <x14:conditionalFormatting xmlns:xm="http://schemas.microsoft.com/office/excel/2006/main">
          <x14:cfRule type="expression" priority="6" id="{9EEFD732-17C8-4C6E-AB74-2611A54EB48C}">
            <xm:f>CharacterSheet!$R$38="Yes"</xm:f>
            <x14:dxf>
              <fill>
                <patternFill>
                  <bgColor theme="1"/>
                </patternFill>
              </fill>
            </x14:dxf>
          </x14:cfRule>
          <xm:sqref>AR11:AV11 AR13:AV13 AR18:AV20 AR22:AV22 AR27:AV28</xm:sqref>
        </x14:conditionalFormatting>
        <x14:conditionalFormatting xmlns:xm="http://schemas.microsoft.com/office/excel/2006/main">
          <x14:cfRule type="expression" priority="4" id="{27812D38-DFE7-4898-8305-49E7372E640A}">
            <xm:f>AND(OR($AN29="Craft",$AN29="Control"),CharacterSheet!$R$38="Yes")</xm:f>
            <x14:dxf>
              <fill>
                <patternFill>
                  <bgColor theme="1"/>
                </patternFill>
              </fill>
            </x14:dxf>
          </x14:cfRule>
          <x14:cfRule type="expression" priority="5" id="{0EA952C1-5954-4B2F-BDCC-EBDF38F7DCC0}">
            <xm:f>AND($AN29="Science",CharacterSheet!$L$38="Yes")</xm:f>
            <x14:dxf>
              <fill>
                <patternFill>
                  <bgColor theme="1"/>
                </patternFill>
              </fill>
            </x14:dxf>
          </x14:cfRule>
          <xm:sqref>AR29:AV38</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sheetPr>
  <dimension ref="A1:CF122"/>
  <sheetViews>
    <sheetView view="pageBreakPreview" zoomScale="75" zoomScaleNormal="100" zoomScaleSheetLayoutView="75" workbookViewId="0">
      <selection activeCell="E12" sqref="E12:N12"/>
    </sheetView>
  </sheetViews>
  <sheetFormatPr defaultRowHeight="15" x14ac:dyDescent="0.25"/>
  <cols>
    <col min="1" max="72" width="3.7109375" style="28" customWidth="1"/>
    <col min="73" max="73" width="14.5703125" style="171" hidden="1" customWidth="1"/>
    <col min="74" max="74" width="2.42578125" style="171" hidden="1" customWidth="1"/>
    <col min="75" max="75" width="14.5703125" style="28" hidden="1" customWidth="1"/>
    <col min="76" max="76" width="2.42578125" style="28" hidden="1" customWidth="1"/>
    <col min="77" max="77" width="12.7109375" style="28" hidden="1" customWidth="1"/>
    <col min="78" max="78" width="9.7109375" style="28" hidden="1" customWidth="1"/>
    <col min="79" max="84" width="0" style="28" hidden="1" customWidth="1"/>
    <col min="85" max="16384" width="9.140625" style="28"/>
  </cols>
  <sheetData>
    <row r="1" spans="1:84" ht="15.75" thickBot="1" x14ac:dyDescent="0.3">
      <c r="A1" s="513" t="s">
        <v>153</v>
      </c>
      <c r="B1" s="514"/>
      <c r="C1" s="514"/>
      <c r="D1" s="514"/>
      <c r="E1" s="737" t="s">
        <v>141</v>
      </c>
      <c r="F1" s="737"/>
      <c r="G1" s="737"/>
      <c r="H1" s="738"/>
      <c r="I1" s="392" t="s">
        <v>7</v>
      </c>
      <c r="J1" s="391"/>
      <c r="K1" s="391"/>
      <c r="L1" s="391"/>
      <c r="M1" s="391" t="str">
        <f>IF(OR(E22="Select",E28="Select",E34="Select"),"Prioritize Your Attribute Groups",IF(AND(E22="Primary",E23&gt;0),"Select Physical Attributes",IF(AND(E28="primary",E29&gt;0),"Select Social Attributes",IF(AND(E34="Primary",E35&gt;0),"Select Mental Attributes",IF(AND(E22="Secondary",E23&gt;0),"Select Physical Attributes",IF(AND(E28="Secondary",E29&gt;0),"Select Social Attributes",IF(AND(E34="Secondary",E35&gt;0),"Select Mental Attributes",IF(AND(E22="Tertiary",E23&gt;0),"Select Physical Attributes",IF(AND(E28="Tertiary",E29&gt;0),"Select Social Attributes",IF(AND(E34="Tertiary",E35&gt;0),"Select Mental Attributes",IF(BO17="no","Select Advantages",IF(BM42="No","Select Birthrights",IF(M46="No","Spend Bonus Points","You're Done!")))))))))))))</f>
        <v>Prioritize Your Attribute Groups</v>
      </c>
      <c r="N1" s="391"/>
      <c r="O1" s="391"/>
      <c r="P1" s="391"/>
      <c r="Q1" s="391"/>
      <c r="R1" s="391"/>
      <c r="S1" s="391"/>
      <c r="T1" s="391"/>
      <c r="U1" s="391"/>
      <c r="V1" s="391"/>
      <c r="W1" s="391"/>
      <c r="X1" s="409"/>
      <c r="Y1" s="373" t="s">
        <v>69</v>
      </c>
      <c r="Z1" s="374"/>
      <c r="AA1" s="374"/>
      <c r="AB1" s="374"/>
      <c r="AC1" s="374"/>
      <c r="AD1" s="374"/>
      <c r="AE1" s="374"/>
      <c r="AF1" s="374"/>
      <c r="AG1" s="374"/>
      <c r="AH1" s="374"/>
      <c r="AI1" s="374"/>
      <c r="AJ1" s="374"/>
      <c r="AK1" s="374"/>
      <c r="AL1" s="374"/>
      <c r="AM1" s="375"/>
      <c r="AN1" s="373" t="s">
        <v>60</v>
      </c>
      <c r="AO1" s="374"/>
      <c r="AP1" s="374"/>
      <c r="AQ1" s="374"/>
      <c r="AR1" s="374"/>
      <c r="AS1" s="374"/>
      <c r="AT1" s="374"/>
      <c r="AU1" s="374"/>
      <c r="AV1" s="375"/>
      <c r="AW1" s="373" t="s">
        <v>68</v>
      </c>
      <c r="AX1" s="374"/>
      <c r="AY1" s="374"/>
      <c r="AZ1" s="374"/>
      <c r="BA1" s="374"/>
      <c r="BB1" s="374"/>
      <c r="BC1" s="374"/>
      <c r="BD1" s="374"/>
      <c r="BE1" s="374"/>
      <c r="BF1" s="374"/>
      <c r="BG1" s="374"/>
      <c r="BH1" s="375"/>
      <c r="BI1" s="373" t="s">
        <v>67</v>
      </c>
      <c r="BJ1" s="374"/>
      <c r="BK1" s="374"/>
      <c r="BL1" s="374"/>
      <c r="BM1" s="374"/>
      <c r="BN1" s="374"/>
      <c r="BO1" s="374"/>
      <c r="BP1" s="374"/>
      <c r="BQ1" s="374"/>
      <c r="BR1" s="374"/>
      <c r="BS1" s="374"/>
      <c r="BT1" s="375"/>
      <c r="BU1" s="48" t="s">
        <v>931</v>
      </c>
      <c r="BW1" s="1" t="s">
        <v>934</v>
      </c>
      <c r="BX1" s="171"/>
      <c r="BY1" s="391" t="s">
        <v>3</v>
      </c>
      <c r="BZ1" s="391"/>
      <c r="CA1" s="391"/>
      <c r="CB1" s="391"/>
      <c r="CC1" s="417" t="str">
        <f>Creation!M17</f>
        <v>Select</v>
      </c>
      <c r="CD1" s="417"/>
      <c r="CE1" s="417"/>
      <c r="CF1" s="637"/>
    </row>
    <row r="2" spans="1:84" ht="15.75" thickBot="1" x14ac:dyDescent="0.3">
      <c r="A2" s="513" t="s">
        <v>154</v>
      </c>
      <c r="B2" s="514"/>
      <c r="C2" s="514"/>
      <c r="D2" s="514"/>
      <c r="E2" s="737" t="s">
        <v>140</v>
      </c>
      <c r="F2" s="737"/>
      <c r="G2" s="737"/>
      <c r="H2" s="738"/>
      <c r="I2" s="396"/>
      <c r="J2" s="395"/>
      <c r="K2" s="395"/>
      <c r="L2" s="395"/>
      <c r="M2" s="395"/>
      <c r="N2" s="395"/>
      <c r="O2" s="395"/>
      <c r="P2" s="395"/>
      <c r="Q2" s="395"/>
      <c r="R2" s="395"/>
      <c r="S2" s="395"/>
      <c r="T2" s="395"/>
      <c r="U2" s="395"/>
      <c r="V2" s="395"/>
      <c r="W2" s="395"/>
      <c r="X2" s="475"/>
      <c r="Y2" s="376"/>
      <c r="Z2" s="377"/>
      <c r="AA2" s="377"/>
      <c r="AB2" s="377"/>
      <c r="AC2" s="377"/>
      <c r="AD2" s="377"/>
      <c r="AE2" s="377"/>
      <c r="AF2" s="377"/>
      <c r="AG2" s="377"/>
      <c r="AH2" s="377"/>
      <c r="AI2" s="377"/>
      <c r="AJ2" s="377"/>
      <c r="AK2" s="377"/>
      <c r="AL2" s="377"/>
      <c r="AM2" s="418"/>
      <c r="AN2" s="376"/>
      <c r="AO2" s="377"/>
      <c r="AP2" s="377"/>
      <c r="AQ2" s="377"/>
      <c r="AR2" s="377"/>
      <c r="AS2" s="377"/>
      <c r="AT2" s="377"/>
      <c r="AU2" s="377"/>
      <c r="AV2" s="418"/>
      <c r="AW2" s="376"/>
      <c r="AX2" s="377"/>
      <c r="AY2" s="377"/>
      <c r="AZ2" s="377"/>
      <c r="BA2" s="377"/>
      <c r="BB2" s="377"/>
      <c r="BC2" s="377"/>
      <c r="BD2" s="377"/>
      <c r="BE2" s="377"/>
      <c r="BF2" s="377"/>
      <c r="BG2" s="377"/>
      <c r="BH2" s="418"/>
      <c r="BI2" s="376"/>
      <c r="BJ2" s="377"/>
      <c r="BK2" s="377"/>
      <c r="BL2" s="377"/>
      <c r="BM2" s="377"/>
      <c r="BN2" s="377"/>
      <c r="BO2" s="377"/>
      <c r="BP2" s="377"/>
      <c r="BQ2" s="377"/>
      <c r="BR2" s="377"/>
      <c r="BS2" s="377"/>
      <c r="BT2" s="418"/>
      <c r="BU2" s="2" t="s">
        <v>35</v>
      </c>
      <c r="BV2" s="171">
        <f>SUM(DotTracking!$T9:$X9,DotTracking!$AR9:$AV9,DotTracking!$BP9:$BT9)</f>
        <v>0</v>
      </c>
      <c r="BW2" s="2" t="s">
        <v>40</v>
      </c>
      <c r="BX2" s="171">
        <f>SUM(DotTracking!$T14:$X14,DotTracking!$AR14:$AV15,DotTracking!$BP14:$BT14)</f>
        <v>0</v>
      </c>
      <c r="BY2" s="395" t="s">
        <v>5</v>
      </c>
      <c r="BZ2" s="395"/>
      <c r="CA2" s="395"/>
      <c r="CB2" s="395"/>
      <c r="CC2" s="434" t="str">
        <f>Creation!M19</f>
        <v>Select</v>
      </c>
      <c r="CD2" s="434"/>
      <c r="CE2" s="434"/>
      <c r="CF2" s="474"/>
    </row>
    <row r="3" spans="1:84" x14ac:dyDescent="0.25">
      <c r="A3" s="678" t="str">
        <f>IF(M1=Reference!A26,Reference!I14,IF(M1=Reference!A28,Reference!I16,IF(M1=Reference!A29,Reference!I17,IF(M1=Reference!A30,Reference!I18,IF(M1=Reference!A31,Reference!I19,IF(M1=Reference!A32,Reference!I20,IF(M1=Reference!A33,Reference!I21,IF(M1=Reference!A34,Reference!I22,IF(M1=Reference!A35,Reference!I23,IF(M1=Reference!A36,Reference!I24,IF(M1=Reference!A37,Reference!I25,IF(M1=Reference!A38,Reference!I26,IF(M1=Reference!A39,Reference!I27,IF(M1=Reference!A40,Reference!I28))))))))))))))</f>
        <v>Just like at creation, you have to prioritize your ability groups. You do not have to prioritize them the same way you did before. If you want to do them the same way, go for it. If not, that's swell too. This time around, your primary group gets 4 new dots, your secondary gets 3 new dots and your tertiary gets 2 new dots. Have at it!</v>
      </c>
      <c r="B3" s="526"/>
      <c r="C3" s="526"/>
      <c r="D3" s="526"/>
      <c r="E3" s="526"/>
      <c r="F3" s="526"/>
      <c r="G3" s="526"/>
      <c r="H3" s="526"/>
      <c r="I3" s="526"/>
      <c r="J3" s="526"/>
      <c r="K3" s="526"/>
      <c r="L3" s="526"/>
      <c r="M3" s="526"/>
      <c r="N3" s="526"/>
      <c r="O3" s="526"/>
      <c r="P3" s="526"/>
      <c r="Q3" s="526"/>
      <c r="R3" s="526"/>
      <c r="S3" s="526"/>
      <c r="T3" s="526"/>
      <c r="U3" s="526"/>
      <c r="V3" s="526"/>
      <c r="W3" s="526"/>
      <c r="X3" s="651"/>
      <c r="Y3" s="680"/>
      <c r="Z3" s="417"/>
      <c r="AA3" s="417"/>
      <c r="AB3" s="417"/>
      <c r="AC3" s="391" t="s">
        <v>10</v>
      </c>
      <c r="AD3" s="391"/>
      <c r="AE3" s="391"/>
      <c r="AF3" s="391" t="s">
        <v>11</v>
      </c>
      <c r="AG3" s="391"/>
      <c r="AH3" s="391" t="s">
        <v>33</v>
      </c>
      <c r="AI3" s="391"/>
      <c r="AJ3" s="391" t="s">
        <v>34</v>
      </c>
      <c r="AK3" s="391"/>
      <c r="AL3" s="391"/>
      <c r="AM3" s="409"/>
      <c r="AN3" s="392" t="s">
        <v>61</v>
      </c>
      <c r="AO3" s="391"/>
      <c r="AP3" s="391"/>
      <c r="AQ3" s="391"/>
      <c r="AR3" s="391"/>
      <c r="AS3" s="391"/>
      <c r="AT3" s="391"/>
      <c r="AU3" s="417">
        <f>SUM(DotTracking!D4:O4,DotTracking!AB4:AM4,DotTracking!AZ4:BK4)</f>
        <v>2</v>
      </c>
      <c r="AV3" s="637"/>
      <c r="AW3" s="392" t="s">
        <v>70</v>
      </c>
      <c r="AX3" s="391"/>
      <c r="AY3" s="391"/>
      <c r="AZ3" s="391"/>
      <c r="BA3" s="391"/>
      <c r="BB3" s="391"/>
      <c r="BC3" s="391" t="s">
        <v>71</v>
      </c>
      <c r="BD3" s="391"/>
      <c r="BE3" s="391" t="s">
        <v>157</v>
      </c>
      <c r="BF3" s="391"/>
      <c r="BG3" s="391" t="s">
        <v>11</v>
      </c>
      <c r="BH3" s="409"/>
      <c r="BI3" s="680"/>
      <c r="BJ3" s="417"/>
      <c r="BK3" s="391" t="s">
        <v>65</v>
      </c>
      <c r="BL3" s="391"/>
      <c r="BM3" s="391" t="s">
        <v>151</v>
      </c>
      <c r="BN3" s="391"/>
      <c r="BO3" s="391" t="s">
        <v>152</v>
      </c>
      <c r="BP3" s="391"/>
      <c r="BQ3" s="391" t="s">
        <v>11</v>
      </c>
      <c r="BR3" s="391"/>
      <c r="BS3" s="391" t="s">
        <v>33</v>
      </c>
      <c r="BT3" s="409"/>
      <c r="BU3" s="2" t="s">
        <v>36</v>
      </c>
      <c r="BV3" s="171">
        <f>SUM(DotTracking!$T10:$X10,DotTracking!$AR10:$AV10,DotTracking!$BP10:$BT10)</f>
        <v>0</v>
      </c>
      <c r="BW3" s="2" t="s">
        <v>56</v>
      </c>
      <c r="BX3" s="171">
        <f>SUM(IF(DotTracking!P29="Control",DotTracking!T29:X29,0),IF(DotTracking!AN29="Control",DotTracking!AR29:AV29,0),IF(DotTracking!BL29="Control",DotTracking!BP29:BT29,0),IF(DotTracking!P30="Control",DotTracking!T30:X30,0),IF(DotTracking!AN30="Control",DotTracking!AR30:AV30,0),IF(DotTracking!BL30="Control",DotTracking!BP30:BT30,0),IF(DotTracking!P32="Control",DotTracking!T32:X32,0),IF(DotTracking!AN32="Control",DotTracking!AR32:AV32,0),IF(DotTracking!BL32="Control",DotTracking!BP32:BT32,0),IF(DotTracking!P31="Control",DotTracking!T31:X31,0),IF(DotTracking!AN31="Control",DotTracking!AR31:AV31,0),IF(DotTracking!BL31="Control",DotTracking!BP31:BT31,0),IF(DotTracking!P33="Control",DotTracking!T33:X33,0),IF(DotTracking!AN33="Control",DotTracking!AR33:AV33,0),IF(DotTracking!BL33="Control",DotTracking!BP33:BT33,0),IF(DotTracking!P34="Control",DotTracking!T34:X34,0),IF(DotTracking!AN34="Control",DotTracking!AR34:AV34,0),IF(DotTracking!BL34="Control",DotTracking!BP34:BT34,0),IF(DotTracking!P35="Control",DotTracking!T35:X35,0),IF(DotTracking!AN35="Control",DotTracking!AR35:AV35,0),IF(DotTracking!BL35="Control",DotTracking!BP35:BT35,0),IF(DotTracking!P36="Control",DotTracking!T36:X36,0),IF(DotTracking!AN36="Control",DotTracking!AR36:AV36,0),IF(DotTracking!BL36="Control",DotTracking!BP36:BT36,0),IF(DotTracking!P37="Control",DotTracking!T37:X37,0),IF(DotTracking!AN37="Control",DotTracking!AR37:AV37,0),IF(DotTracking!BL37="Control",DotTracking!BP37:BT37,0),IF(DotTracking!P38="Control",DotTracking!T38:X38,0),IF(DotTracking!AN38="Control",DotTracking!AR38:AV38,0),IF(DotTracking!BL38="Control",DotTracking!BP38:BT38,0),0)</f>
        <v>0</v>
      </c>
      <c r="BY3" s="171" t="s">
        <v>937</v>
      </c>
      <c r="CC3" s="2"/>
    </row>
    <row r="4" spans="1:84" ht="15.75" thickBot="1" x14ac:dyDescent="0.3">
      <c r="A4" s="536"/>
      <c r="B4" s="535"/>
      <c r="C4" s="535"/>
      <c r="D4" s="535"/>
      <c r="E4" s="535"/>
      <c r="F4" s="535"/>
      <c r="G4" s="535"/>
      <c r="H4" s="535"/>
      <c r="I4" s="535"/>
      <c r="J4" s="535"/>
      <c r="K4" s="535"/>
      <c r="L4" s="535"/>
      <c r="M4" s="535"/>
      <c r="N4" s="535"/>
      <c r="O4" s="535"/>
      <c r="P4" s="535"/>
      <c r="Q4" s="535"/>
      <c r="R4" s="535"/>
      <c r="S4" s="535"/>
      <c r="T4" s="535"/>
      <c r="U4" s="535"/>
      <c r="V4" s="535"/>
      <c r="W4" s="535"/>
      <c r="X4" s="652"/>
      <c r="Y4" s="393" t="s">
        <v>35</v>
      </c>
      <c r="Z4" s="389"/>
      <c r="AA4" s="389"/>
      <c r="AB4" s="389"/>
      <c r="AC4" s="356">
        <f>SUM(DotTracking!T9:X9,DotTracking!AR9:AV9,DotTracking!BP9:BT9,DotTracking!ES7:EW7,DotTracking!FB7:FF7,DotTracking!FK7:FO7,DotTracking!FT7:FX7,DotTracking!GC7:GG7)</f>
        <v>0</v>
      </c>
      <c r="AD4" s="356"/>
      <c r="AE4" s="356"/>
      <c r="AF4" s="363"/>
      <c r="AG4" s="363"/>
      <c r="AH4" s="356">
        <f>IF(OR(Y4=Q$19,Y4=Q$20,Y4=Q$21,Y4=Q$22,Y4=Q$23,Y4=Q$24),AF4,AF4*2)</f>
        <v>0</v>
      </c>
      <c r="AI4" s="356"/>
      <c r="AJ4" s="712"/>
      <c r="AK4" s="712"/>
      <c r="AL4" s="712"/>
      <c r="AM4" s="713"/>
      <c r="AN4" s="396" t="s">
        <v>80</v>
      </c>
      <c r="AO4" s="395"/>
      <c r="AP4" s="395"/>
      <c r="AQ4" s="395"/>
      <c r="AR4" s="395"/>
      <c r="AS4" s="395"/>
      <c r="AT4" s="395"/>
      <c r="AU4" s="724"/>
      <c r="AV4" s="725"/>
      <c r="AW4" s="362"/>
      <c r="AX4" s="363"/>
      <c r="AY4" s="363"/>
      <c r="AZ4" s="363"/>
      <c r="BA4" s="363"/>
      <c r="BB4" s="363"/>
      <c r="BC4" s="240"/>
      <c r="BD4" s="146">
        <f>IF(BG4="No",BC4,0)</f>
        <v>0</v>
      </c>
      <c r="BE4" s="356" t="str">
        <f>IF(AW4="","",HLOOKUP(AW4,AssociatedRef!$AP$1:$BZ$123,LOOKUP($CC$2,AssociatedRef!$AP$2:$AP$123,AssociatedRef!$AQ$2:$AQ$123),FALSE))</f>
        <v/>
      </c>
      <c r="BF4" s="356"/>
      <c r="BG4" s="161" t="s">
        <v>361</v>
      </c>
      <c r="BH4" s="149" t="str">
        <f>IF(BG4="Yes",IF(BE4="Yes",4,5),"")</f>
        <v/>
      </c>
      <c r="BI4" s="393" t="s">
        <v>938</v>
      </c>
      <c r="BJ4" s="389"/>
      <c r="BK4" s="356">
        <f>SUM(E19:H19)</f>
        <v>1</v>
      </c>
      <c r="BL4" s="356"/>
      <c r="BM4" s="356">
        <f>SUM(DotTracking!E16:O16,DotTracking!AC16:AM16,DotTracking!BA16:BK16)</f>
        <v>0</v>
      </c>
      <c r="BN4" s="356"/>
      <c r="BO4" s="363"/>
      <c r="BP4" s="363"/>
      <c r="BQ4" s="363"/>
      <c r="BR4" s="363"/>
      <c r="BS4" s="356">
        <f>IF(LOOKUP($CC$2,AssociatedRef!$A$2:$A$123,AssociatedRef!$B$2:$B$123)="Yes",BQ4*4,BQ4*5)</f>
        <v>0</v>
      </c>
      <c r="BT4" s="401"/>
      <c r="BU4" s="2" t="s">
        <v>55</v>
      </c>
      <c r="BV4" s="171">
        <f>SUM(IF(DotTracking!P29="Art",DotTracking!T29:X29,0),IF(DotTracking!AN29="Art",DotTracking!AR29:AV29,0),IF(DotTracking!BL29="Art",DotTracking!BP29:BT29,0),IF(DotTracking!P30="Art",DotTracking!T30:X30,0),IF(DotTracking!AN30="Art",DotTracking!AR30:AV30,0),IF(DotTracking!BL30="Art",DotTracking!BP30:BT30,0),IF(DotTracking!P32="Art",DotTracking!T32:X32,0),IF(DotTracking!AN32="Art",DotTracking!AR32:AV32,0),IF(DotTracking!BL32="Art",DotTracking!BP32:BT32,0),IF(DotTracking!P31="Art",DotTracking!T31:X31,0),IF(DotTracking!AN31="Art",DotTracking!AR31:AV31,0),IF(DotTracking!BL31="Art",DotTracking!BP31:BT31,0),IF(DotTracking!P33="Art",DotTracking!T33:X33,0),IF(DotTracking!AN33="Art",DotTracking!AR33:AV33,0),IF(DotTracking!BL33="Art",DotTracking!BP33:BT33,0),IF(DotTracking!P34="Art",DotTracking!T34:X34,0),IF(DotTracking!AN34="Art",DotTracking!AR34:AV34,0),IF(DotTracking!BL34="Art",DotTracking!BP34:BT34,0),IF(DotTracking!P35="Art",DotTracking!T35:X35,0),IF(DotTracking!AN35="Art",DotTracking!AR35:AV35,0),IF(DotTracking!BL35="Art",DotTracking!BP35:BT35,0),IF(DotTracking!P36="Art",DotTracking!T36:X36,0),IF(DotTracking!AN36="Art",DotTracking!AR36:AV36,0),IF(DotTracking!BL36="Art",DotTracking!BP36:BT36,0),IF(DotTracking!P37="Art",DotTracking!T37:X37,0),IF(DotTracking!AN37="Art",DotTracking!AR37:AV37,0),IF(DotTracking!BL37="Art",DotTracking!BP37:BT37,0),IF(DotTracking!P38="Art",DotTracking!T38:X38,0),IF(DotTracking!AN38="Art",DotTracking!AR38:AV38,0),IF(DotTracking!BL38="Art",DotTracking!BP38:BT38,0),0)</f>
        <v>0</v>
      </c>
      <c r="BW4" s="2" t="s">
        <v>57</v>
      </c>
      <c r="BX4" s="171">
        <f>SUM(IF(DotTracking!P29="Craft",DotTracking!T29:X29,0),IF(DotTracking!AN29="Craft",DotTracking!AR29:AV29,0),IF(DotTracking!BL29="Craft",DotTracking!BP29:BT29,0),IF(DotTracking!P30="Craft",DotTracking!T30:X30,0),IF(DotTracking!AN30="Craft",DotTracking!AR30:AV30,0),IF(DotTracking!BL30="Craft",DotTracking!BP30:BT30,0),IF(DotTracking!P32="Craft",DotTracking!T32:X32,0),IF(DotTracking!AN32="Craft",DotTracking!AR32:AV32,0),IF(DotTracking!BL32="Craft",DotTracking!BP32:BT32,0),IF(DotTracking!P31="Craft",DotTracking!T31:X31,0),IF(DotTracking!AN31="Craft",DotTracking!AR31:AV31,0),IF(DotTracking!BL31="Craft",DotTracking!BP31:BT31,0),IF(DotTracking!P33="Craft",DotTracking!T33:X33,0),IF(DotTracking!AN33="Craft",DotTracking!AR33:AV33,0),IF(DotTracking!BL33="Craft",DotTracking!BP33:BT33,0),IF(DotTracking!P34="Craft",DotTracking!T34:X34,0),IF(DotTracking!AN34="Craft",DotTracking!AR34:AV34,0),IF(DotTracking!BL34="Craft",DotTracking!BP34:BT34,0),IF(DotTracking!P35="Craft",DotTracking!T35:X35,0),IF(DotTracking!AN35="Craft",DotTracking!AR35:AV35,0),IF(DotTracking!BL35="Craft",DotTracking!BP35:BT35,0),IF(DotTracking!P36="Craft",DotTracking!T36:X36,0),IF(DotTracking!AN36="Craft",DotTracking!AR36:AV36,0),IF(DotTracking!BL36="Craft",DotTracking!BP36:BT36,0),IF(DotTracking!P37="Craft",DotTracking!T37:X37,0),IF(DotTracking!AN37="Craft",DotTracking!AR37:AV37,0),IF(DotTracking!BL37="Craft",DotTracking!BP37:BT37,0),IF(DotTracking!P38="Craft",DotTracking!T38:X38,0),IF(DotTracking!AN38="Craft",DotTracking!AR38:AV38,0),IF(DotTracking!BL38="Craft",DotTracking!BP38:BT38,0),0)</f>
        <v>0</v>
      </c>
      <c r="BY4" s="28">
        <f>IF(BG4="Yes",1,0)</f>
        <v>0</v>
      </c>
      <c r="CC4" s="2"/>
    </row>
    <row r="5" spans="1:84" x14ac:dyDescent="0.25">
      <c r="A5" s="536"/>
      <c r="B5" s="535"/>
      <c r="C5" s="535"/>
      <c r="D5" s="535"/>
      <c r="E5" s="535"/>
      <c r="F5" s="535"/>
      <c r="G5" s="535"/>
      <c r="H5" s="535"/>
      <c r="I5" s="535"/>
      <c r="J5" s="535"/>
      <c r="K5" s="535"/>
      <c r="L5" s="535"/>
      <c r="M5" s="535"/>
      <c r="N5" s="535"/>
      <c r="O5" s="535"/>
      <c r="P5" s="535"/>
      <c r="Q5" s="535"/>
      <c r="R5" s="535"/>
      <c r="S5" s="535"/>
      <c r="T5" s="535"/>
      <c r="U5" s="535"/>
      <c r="V5" s="535"/>
      <c r="W5" s="535"/>
      <c r="X5" s="652"/>
      <c r="Y5" s="393" t="s">
        <v>36</v>
      </c>
      <c r="Z5" s="389"/>
      <c r="AA5" s="389"/>
      <c r="AB5" s="389"/>
      <c r="AC5" s="356">
        <f>SUM(DotTracking!T10:X10,DotTracking!AR10:AV10,DotTracking!BP10:BT10,DotTracking!ES8:EW8,DotTracking!FB8:FF8,DotTracking!FK8:FO8,DotTracking!FT8:FX8,DotTracking!GC8:GG8)</f>
        <v>0</v>
      </c>
      <c r="AD5" s="356"/>
      <c r="AE5" s="356"/>
      <c r="AF5" s="363"/>
      <c r="AG5" s="363"/>
      <c r="AH5" s="356">
        <f t="shared" ref="AH5:AH33" si="0">IF(OR(Y5=Q$19,Y5=Q$20,Y5=Q$21,Y5=Q$22,Y5=Q$23,Y5=Q$24),AF5,AF5*2)</f>
        <v>0</v>
      </c>
      <c r="AI5" s="356"/>
      <c r="AJ5" s="712"/>
      <c r="AK5" s="712"/>
      <c r="AL5" s="712"/>
      <c r="AM5" s="713"/>
      <c r="AN5" s="392" t="s">
        <v>62</v>
      </c>
      <c r="AO5" s="391"/>
      <c r="AP5" s="391"/>
      <c r="AQ5" s="391"/>
      <c r="AR5" s="391"/>
      <c r="AS5" s="391"/>
      <c r="AT5" s="391" t="s">
        <v>33</v>
      </c>
      <c r="AU5" s="391"/>
      <c r="AV5" s="409"/>
      <c r="AW5" s="362"/>
      <c r="AX5" s="363"/>
      <c r="AY5" s="363"/>
      <c r="AZ5" s="363"/>
      <c r="BA5" s="363"/>
      <c r="BB5" s="363"/>
      <c r="BC5" s="240"/>
      <c r="BD5" s="146">
        <f t="shared" ref="BD5:BD46" si="1">IF(BG5="No",BC5,0)</f>
        <v>0</v>
      </c>
      <c r="BE5" s="356" t="str">
        <f>IF(AW5="","",HLOOKUP(AW5,AssociatedRef!$AP$1:$BZ$123,LOOKUP($CC$2,AssociatedRef!$AP$2:$AP$123,AssociatedRef!$AQ$2:$AQ$123),FALSE))</f>
        <v/>
      </c>
      <c r="BF5" s="356"/>
      <c r="BG5" s="161" t="s">
        <v>361</v>
      </c>
      <c r="BH5" s="149" t="str">
        <f t="shared" ref="BH5:BH46" si="2">IF(BG5="Yes",IF(BE5="Yes",4,5),"")</f>
        <v/>
      </c>
      <c r="BI5" s="393" t="s">
        <v>939</v>
      </c>
      <c r="BJ5" s="389"/>
      <c r="BK5" s="356">
        <f t="shared" ref="BK5:BK6" si="3">SUM(E20:H20)</f>
        <v>1</v>
      </c>
      <c r="BL5" s="356"/>
      <c r="BM5" s="356">
        <f>SUM(DotTracking!E17:O17,DotTracking!AC17:AM17,DotTracking!BA17:BK17)</f>
        <v>0</v>
      </c>
      <c r="BN5" s="356"/>
      <c r="BO5" s="363"/>
      <c r="BP5" s="363"/>
      <c r="BQ5" s="363"/>
      <c r="BR5" s="363"/>
      <c r="BS5" s="356">
        <f>IF(LOOKUP($CC$2,AssociatedRef!$A$2:$A$123,AssociatedRef!$C$2:$C$123)="Yes",BQ5*4,BQ5*5)</f>
        <v>0</v>
      </c>
      <c r="BT5" s="401"/>
      <c r="BU5" s="2" t="s">
        <v>37</v>
      </c>
      <c r="BV5" s="171">
        <f>SUM(DotTracking!$T11:$X11,DotTracking!$AR11:$AV12,DotTracking!$BP11:$BT11)</f>
        <v>0</v>
      </c>
      <c r="BW5" s="2" t="s">
        <v>41</v>
      </c>
      <c r="BX5" s="171">
        <f>SUM(DotTracking!$T15:$X15,DotTracking!$AR15:$AV15,DotTracking!$BP15:$BT15)</f>
        <v>0</v>
      </c>
      <c r="BY5" s="28">
        <f t="shared" ref="BY5:BY46" si="4">IF(BG5="Yes",1,0)</f>
        <v>0</v>
      </c>
      <c r="CC5" s="2"/>
    </row>
    <row r="6" spans="1:84" x14ac:dyDescent="0.25">
      <c r="A6" s="536"/>
      <c r="B6" s="535"/>
      <c r="C6" s="535"/>
      <c r="D6" s="535"/>
      <c r="E6" s="535"/>
      <c r="F6" s="535"/>
      <c r="G6" s="535"/>
      <c r="H6" s="535"/>
      <c r="I6" s="535"/>
      <c r="J6" s="535"/>
      <c r="K6" s="535"/>
      <c r="L6" s="535"/>
      <c r="M6" s="535"/>
      <c r="N6" s="535"/>
      <c r="O6" s="535"/>
      <c r="P6" s="535"/>
      <c r="Q6" s="535"/>
      <c r="R6" s="535"/>
      <c r="S6" s="535"/>
      <c r="T6" s="535"/>
      <c r="U6" s="535"/>
      <c r="V6" s="535"/>
      <c r="W6" s="535"/>
      <c r="X6" s="652"/>
      <c r="Y6" s="393" t="s">
        <v>37</v>
      </c>
      <c r="Z6" s="389"/>
      <c r="AA6" s="389"/>
      <c r="AB6" s="389"/>
      <c r="AC6" s="356">
        <f>SUM(DotTracking!T11:X11,DotTracking!AR11:AV11,DotTracking!BP11:BT11,DotTracking!ES9:EW9,DotTracking!FB9:FF9,DotTracking!FK9:FO9,DotTracking!FT9:FX9,DotTracking!GC9:GG9)</f>
        <v>0</v>
      </c>
      <c r="AD6" s="356"/>
      <c r="AE6" s="356"/>
      <c r="AF6" s="363"/>
      <c r="AG6" s="363"/>
      <c r="AH6" s="356">
        <f t="shared" si="0"/>
        <v>0</v>
      </c>
      <c r="AI6" s="356"/>
      <c r="AJ6" s="712"/>
      <c r="AK6" s="712"/>
      <c r="AL6" s="712"/>
      <c r="AM6" s="713"/>
      <c r="AN6" s="362"/>
      <c r="AO6" s="363"/>
      <c r="AP6" s="363"/>
      <c r="AQ6" s="363"/>
      <c r="AR6" s="363"/>
      <c r="AS6" s="363"/>
      <c r="AT6" s="356" t="str">
        <f>IF(AN6="","",3)</f>
        <v/>
      </c>
      <c r="AU6" s="356"/>
      <c r="AV6" s="401"/>
      <c r="AW6" s="362"/>
      <c r="AX6" s="363"/>
      <c r="AY6" s="363"/>
      <c r="AZ6" s="363"/>
      <c r="BA6" s="363"/>
      <c r="BB6" s="363"/>
      <c r="BC6" s="240"/>
      <c r="BD6" s="146">
        <f t="shared" si="1"/>
        <v>0</v>
      </c>
      <c r="BE6" s="356" t="str">
        <f>IF(AW6="","",HLOOKUP(AW6,AssociatedRef!$AP$1:$BZ$123,LOOKUP($CC$2,AssociatedRef!$AP$2:$AP$123,AssociatedRef!$AQ$2:$AQ$123),FALSE))</f>
        <v/>
      </c>
      <c r="BF6" s="356"/>
      <c r="BG6" s="161" t="s">
        <v>361</v>
      </c>
      <c r="BH6" s="149" t="str">
        <f t="shared" si="2"/>
        <v/>
      </c>
      <c r="BI6" s="393" t="s">
        <v>940</v>
      </c>
      <c r="BJ6" s="389"/>
      <c r="BK6" s="356">
        <f t="shared" si="3"/>
        <v>1</v>
      </c>
      <c r="BL6" s="356"/>
      <c r="BM6" s="356">
        <f>SUM(DotTracking!E18:O18,DotTracking!AC18:AM18,DotTracking!BA18:BK18)</f>
        <v>0</v>
      </c>
      <c r="BN6" s="356"/>
      <c r="BO6" s="363"/>
      <c r="BP6" s="363"/>
      <c r="BQ6" s="363"/>
      <c r="BR6" s="363"/>
      <c r="BS6" s="356">
        <f>IF(LOOKUP($CC$2,AssociatedRef!$A$2:$A$123,AssociatedRef!$D$2:$D$123)="Yes",BQ6*4,BQ6*5)</f>
        <v>0</v>
      </c>
      <c r="BT6" s="401"/>
      <c r="BU6" s="2" t="s">
        <v>38</v>
      </c>
      <c r="BV6" s="171">
        <f>SUM(DotTracking!$T12:$X12,DotTracking!$AR12:$AV13,DotTracking!$BP12:$BT12)</f>
        <v>0</v>
      </c>
      <c r="BW6" s="2" t="s">
        <v>42</v>
      </c>
      <c r="BX6" s="171">
        <f>SUM(DotTracking!$T16:$X16,DotTracking!$AR16:$AV16,DotTracking!$BP16:$BT16)</f>
        <v>0</v>
      </c>
      <c r="BY6" s="28">
        <f t="shared" si="4"/>
        <v>0</v>
      </c>
      <c r="CC6" s="2"/>
    </row>
    <row r="7" spans="1:84" x14ac:dyDescent="0.25">
      <c r="A7" s="536"/>
      <c r="B7" s="535"/>
      <c r="C7" s="535"/>
      <c r="D7" s="535"/>
      <c r="E7" s="535"/>
      <c r="F7" s="535"/>
      <c r="G7" s="535"/>
      <c r="H7" s="535"/>
      <c r="I7" s="535"/>
      <c r="J7" s="535"/>
      <c r="K7" s="535"/>
      <c r="L7" s="535"/>
      <c r="M7" s="535"/>
      <c r="N7" s="535"/>
      <c r="O7" s="535"/>
      <c r="P7" s="535"/>
      <c r="Q7" s="535"/>
      <c r="R7" s="535"/>
      <c r="S7" s="535"/>
      <c r="T7" s="535"/>
      <c r="U7" s="535"/>
      <c r="V7" s="535"/>
      <c r="W7" s="535"/>
      <c r="X7" s="652"/>
      <c r="Y7" s="393" t="s">
        <v>38</v>
      </c>
      <c r="Z7" s="389"/>
      <c r="AA7" s="389"/>
      <c r="AB7" s="389"/>
      <c r="AC7" s="356">
        <f>SUM(DotTracking!T12:X12,DotTracking!AR12:AV12,DotTracking!BP12:BT12,DotTracking!ES10:EW10,DotTracking!FB10:FF10,DotTracking!FK10:FO10,DotTracking!FT10:FX10,DotTracking!GC10:GG10)</f>
        <v>0</v>
      </c>
      <c r="AD7" s="356"/>
      <c r="AE7" s="356"/>
      <c r="AF7" s="363"/>
      <c r="AG7" s="363"/>
      <c r="AH7" s="356">
        <f t="shared" si="0"/>
        <v>0</v>
      </c>
      <c r="AI7" s="356"/>
      <c r="AJ7" s="712"/>
      <c r="AK7" s="712"/>
      <c r="AL7" s="712"/>
      <c r="AM7" s="713"/>
      <c r="AN7" s="362"/>
      <c r="AO7" s="363"/>
      <c r="AP7" s="363"/>
      <c r="AQ7" s="363"/>
      <c r="AR7" s="363"/>
      <c r="AS7" s="363"/>
      <c r="AT7" s="356" t="str">
        <f t="shared" ref="AT7:AT33" si="5">IF(AN7="","",3)</f>
        <v/>
      </c>
      <c r="AU7" s="356"/>
      <c r="AV7" s="401"/>
      <c r="AW7" s="362"/>
      <c r="AX7" s="363"/>
      <c r="AY7" s="363"/>
      <c r="AZ7" s="363"/>
      <c r="BA7" s="363"/>
      <c r="BB7" s="363"/>
      <c r="BC7" s="240"/>
      <c r="BD7" s="146">
        <f t="shared" si="1"/>
        <v>0</v>
      </c>
      <c r="BE7" s="356" t="str">
        <f>IF(AW7="","",HLOOKUP(AW7,AssociatedRef!$AP$1:$BZ$123,LOOKUP($CC$2,AssociatedRef!$AP$2:$AP$123,AssociatedRef!$AQ$2:$AQ$123),FALSE))</f>
        <v/>
      </c>
      <c r="BF7" s="356"/>
      <c r="BG7" s="161" t="s">
        <v>361</v>
      </c>
      <c r="BH7" s="149" t="str">
        <f t="shared" si="2"/>
        <v/>
      </c>
      <c r="BI7" s="393" t="s">
        <v>941</v>
      </c>
      <c r="BJ7" s="389"/>
      <c r="BK7" s="356">
        <f>SUM(E25:H25)</f>
        <v>1</v>
      </c>
      <c r="BL7" s="356"/>
      <c r="BM7" s="356">
        <f>SUM(DotTracking!E19:O19,DotTracking!AC19:AM19,DotTracking!BA19:BK19)</f>
        <v>0</v>
      </c>
      <c r="BN7" s="356"/>
      <c r="BO7" s="363"/>
      <c r="BP7" s="363"/>
      <c r="BQ7" s="363"/>
      <c r="BR7" s="363"/>
      <c r="BS7" s="356">
        <f>IF(LOOKUP($CC$2,AssociatedRef!$A$2:$A$123,AssociatedRef!$E$2:$E$123)="Yes",BQ7*4,BQ7*5)</f>
        <v>0</v>
      </c>
      <c r="BT7" s="401"/>
      <c r="BU7" s="2" t="s">
        <v>39</v>
      </c>
      <c r="BV7" s="171">
        <f>SUM(DotTracking!$T13:$X13,DotTracking!$AR13:$AV14,DotTracking!$BP13:$BT13)</f>
        <v>0</v>
      </c>
      <c r="BW7" s="2" t="s">
        <v>43</v>
      </c>
      <c r="BX7" s="171">
        <f>SUM(DotTracking!$T17:$X17,DotTracking!$AR17:$AV17,DotTracking!$BP17:$BT17)</f>
        <v>0</v>
      </c>
      <c r="BY7" s="28">
        <f t="shared" si="4"/>
        <v>0</v>
      </c>
      <c r="CC7" s="2"/>
    </row>
    <row r="8" spans="1:84" x14ac:dyDescent="0.25">
      <c r="A8" s="536"/>
      <c r="B8" s="535"/>
      <c r="C8" s="535"/>
      <c r="D8" s="535"/>
      <c r="E8" s="535"/>
      <c r="F8" s="535"/>
      <c r="G8" s="535"/>
      <c r="H8" s="535"/>
      <c r="I8" s="535"/>
      <c r="J8" s="535"/>
      <c r="K8" s="535"/>
      <c r="L8" s="535"/>
      <c r="M8" s="535"/>
      <c r="N8" s="535"/>
      <c r="O8" s="535"/>
      <c r="P8" s="535"/>
      <c r="Q8" s="535"/>
      <c r="R8" s="535"/>
      <c r="S8" s="535"/>
      <c r="T8" s="535"/>
      <c r="U8" s="535"/>
      <c r="V8" s="535"/>
      <c r="W8" s="535"/>
      <c r="X8" s="652"/>
      <c r="Y8" s="393" t="s">
        <v>39</v>
      </c>
      <c r="Z8" s="389"/>
      <c r="AA8" s="389"/>
      <c r="AB8" s="389"/>
      <c r="AC8" s="356">
        <f>SUM(DotTracking!T13:X13,DotTracking!AR13:AV13,DotTracking!BP13:BT13,DotTracking!ES11:EW11,DotTracking!FB11:FF11,DotTracking!FK11:FO11,DotTracking!FT11:FX11,DotTracking!GC11:GG11)</f>
        <v>0</v>
      </c>
      <c r="AD8" s="356"/>
      <c r="AE8" s="356"/>
      <c r="AF8" s="363"/>
      <c r="AG8" s="363"/>
      <c r="AH8" s="356">
        <f t="shared" si="0"/>
        <v>0</v>
      </c>
      <c r="AI8" s="356"/>
      <c r="AJ8" s="712"/>
      <c r="AK8" s="712"/>
      <c r="AL8" s="712"/>
      <c r="AM8" s="713"/>
      <c r="AN8" s="362"/>
      <c r="AO8" s="363"/>
      <c r="AP8" s="363"/>
      <c r="AQ8" s="363"/>
      <c r="AR8" s="363"/>
      <c r="AS8" s="363"/>
      <c r="AT8" s="356" t="str">
        <f t="shared" si="5"/>
        <v/>
      </c>
      <c r="AU8" s="356"/>
      <c r="AV8" s="401"/>
      <c r="AW8" s="362"/>
      <c r="AX8" s="363"/>
      <c r="AY8" s="363"/>
      <c r="AZ8" s="363"/>
      <c r="BA8" s="363"/>
      <c r="BB8" s="363"/>
      <c r="BC8" s="240"/>
      <c r="BD8" s="146">
        <f t="shared" si="1"/>
        <v>0</v>
      </c>
      <c r="BE8" s="356" t="str">
        <f>IF(AW8="","",HLOOKUP(AW8,AssociatedRef!$AP$1:$BZ$123,LOOKUP($CC$2,AssociatedRef!$AP$2:$AP$123,AssociatedRef!$AQ$2:$AQ$123),FALSE))</f>
        <v/>
      </c>
      <c r="BF8" s="356"/>
      <c r="BG8" s="161" t="s">
        <v>361</v>
      </c>
      <c r="BH8" s="149" t="str">
        <f t="shared" si="2"/>
        <v/>
      </c>
      <c r="BI8" s="393" t="s">
        <v>942</v>
      </c>
      <c r="BJ8" s="389"/>
      <c r="BK8" s="356">
        <f t="shared" ref="BK8:BK9" si="6">SUM(E26:H26)</f>
        <v>1</v>
      </c>
      <c r="BL8" s="356"/>
      <c r="BM8" s="356">
        <f>SUM(DotTracking!E20:O20,DotTracking!AC20:AM20,DotTracking!BA20:BK20)</f>
        <v>0</v>
      </c>
      <c r="BN8" s="356"/>
      <c r="BO8" s="363"/>
      <c r="BP8" s="363"/>
      <c r="BQ8" s="363"/>
      <c r="BR8" s="363"/>
      <c r="BS8" s="356">
        <f>IF(LOOKUP($CC$2,AssociatedRef!$A$2:$A$123,AssociatedRef!$F$2:$F$123)="Yes",BQ8*4,BQ8*5)</f>
        <v>0</v>
      </c>
      <c r="BT8" s="401"/>
      <c r="BU8" s="2" t="s">
        <v>40</v>
      </c>
      <c r="BV8" s="171">
        <f>SUM(DotTracking!$T14:$X14,DotTracking!$AR14:$AV15,DotTracking!$BP14:$BT14)</f>
        <v>0</v>
      </c>
      <c r="BW8" s="2" t="s">
        <v>44</v>
      </c>
      <c r="BX8" s="171">
        <f>SUM(DotTracking!$T18:$X18,DotTracking!$AR18:$AV18,DotTracking!$BP18:$BT18)</f>
        <v>0</v>
      </c>
      <c r="BY8" s="28">
        <f t="shared" si="4"/>
        <v>0</v>
      </c>
      <c r="CC8" s="2"/>
    </row>
    <row r="9" spans="1:84" x14ac:dyDescent="0.25">
      <c r="A9" s="536"/>
      <c r="B9" s="535"/>
      <c r="C9" s="535"/>
      <c r="D9" s="535"/>
      <c r="E9" s="535"/>
      <c r="F9" s="535"/>
      <c r="G9" s="535"/>
      <c r="H9" s="535"/>
      <c r="I9" s="535"/>
      <c r="J9" s="535"/>
      <c r="K9" s="535"/>
      <c r="L9" s="535"/>
      <c r="M9" s="535"/>
      <c r="N9" s="535"/>
      <c r="O9" s="535"/>
      <c r="P9" s="535"/>
      <c r="Q9" s="535"/>
      <c r="R9" s="535"/>
      <c r="S9" s="535"/>
      <c r="T9" s="535"/>
      <c r="U9" s="535"/>
      <c r="V9" s="535"/>
      <c r="W9" s="535"/>
      <c r="X9" s="652"/>
      <c r="Y9" s="393" t="s">
        <v>40</v>
      </c>
      <c r="Z9" s="389"/>
      <c r="AA9" s="389"/>
      <c r="AB9" s="389"/>
      <c r="AC9" s="356">
        <f>SUM(DotTracking!T14:X14,DotTracking!AR14:AV14,DotTracking!BP14:BT14,DotTracking!ES12:EW12,DotTracking!FB12:FF12,DotTracking!FK12:FO12,DotTracking!FT12:FX12,DotTracking!GC12:GG12)</f>
        <v>0</v>
      </c>
      <c r="AD9" s="356"/>
      <c r="AE9" s="356"/>
      <c r="AF9" s="363"/>
      <c r="AG9" s="363"/>
      <c r="AH9" s="356">
        <f t="shared" si="0"/>
        <v>0</v>
      </c>
      <c r="AI9" s="356"/>
      <c r="AJ9" s="712"/>
      <c r="AK9" s="712"/>
      <c r="AL9" s="712"/>
      <c r="AM9" s="713"/>
      <c r="AN9" s="362"/>
      <c r="AO9" s="363"/>
      <c r="AP9" s="363"/>
      <c r="AQ9" s="363"/>
      <c r="AR9" s="363"/>
      <c r="AS9" s="363"/>
      <c r="AT9" s="356" t="str">
        <f t="shared" si="5"/>
        <v/>
      </c>
      <c r="AU9" s="356"/>
      <c r="AV9" s="401"/>
      <c r="AW9" s="362"/>
      <c r="AX9" s="363"/>
      <c r="AY9" s="363"/>
      <c r="AZ9" s="363"/>
      <c r="BA9" s="363"/>
      <c r="BB9" s="363"/>
      <c r="BC9" s="240"/>
      <c r="BD9" s="146">
        <f t="shared" si="1"/>
        <v>0</v>
      </c>
      <c r="BE9" s="356" t="str">
        <f>IF(AW9="","",HLOOKUP(AW9,AssociatedRef!$AP$1:$BZ$123,LOOKUP($CC$2,AssociatedRef!$AP$2:$AP$123,AssociatedRef!$AQ$2:$AQ$123),FALSE))</f>
        <v/>
      </c>
      <c r="BF9" s="356"/>
      <c r="BG9" s="161" t="s">
        <v>361</v>
      </c>
      <c r="BH9" s="149" t="str">
        <f t="shared" si="2"/>
        <v/>
      </c>
      <c r="BI9" s="393" t="s">
        <v>943</v>
      </c>
      <c r="BJ9" s="389"/>
      <c r="BK9" s="356">
        <f t="shared" si="6"/>
        <v>1</v>
      </c>
      <c r="BL9" s="356"/>
      <c r="BM9" s="356">
        <f>SUM(DotTracking!E21:O21,DotTracking!AC21:AM21,DotTracking!BA21:BK21)</f>
        <v>0</v>
      </c>
      <c r="BN9" s="356"/>
      <c r="BO9" s="363"/>
      <c r="BP9" s="363"/>
      <c r="BQ9" s="363"/>
      <c r="BR9" s="363"/>
      <c r="BS9" s="356">
        <f>IF(LOOKUP($CC$2,AssociatedRef!$A$2:$A$123,AssociatedRef!$G$2:$G$123)="Yes",BQ9*4,BQ9*5)</f>
        <v>0</v>
      </c>
      <c r="BT9" s="401"/>
      <c r="BU9" s="2" t="s">
        <v>57</v>
      </c>
      <c r="BV9" s="171">
        <f>SUM(IF(DotTracking!P29="Craft",DotTracking!T29:X29,0),IF(DotTracking!AN29="Craft",DotTracking!AR29:AV29,0),IF(DotTracking!BL29="Craft",DotTracking!BP29:BT29,0),IF(DotTracking!P30="Craft",DotTracking!T30:X30,0),IF(DotTracking!AN30="Craft",DotTracking!AR30:AV30,0),IF(DotTracking!BL30="Craft",DotTracking!BP30:BT30,0),IF(DotTracking!P32="Craft",DotTracking!T32:X32,0),IF(DotTracking!AN32="Craft",DotTracking!AR32:AV32,0),IF(DotTracking!BL32="Craft",DotTracking!BP32:BT32,0),IF(DotTracking!P31="Craft",DotTracking!T31:X31,0),IF(DotTracking!AN31="Craft",DotTracking!AR31:AV31,0),IF(DotTracking!BL31="Craft",DotTracking!BP31:BT31,0),IF(DotTracking!P33="Craft",DotTracking!T33:X33,0),IF(DotTracking!AN33="Craft",DotTracking!AR33:AV33,0),IF(DotTracking!BL33="Craft",DotTracking!BP33:BT33,0),IF(DotTracking!P34="Craft",DotTracking!T34:X34,0),IF(DotTracking!AN34="Craft",DotTracking!AR34:AV34,0),IF(DotTracking!BL34="Craft",DotTracking!BP34:BT34,0),IF(DotTracking!P35="Craft",DotTracking!T35:X35,0),IF(DotTracking!AN35="Craft",DotTracking!AR35:AV35,0),IF(DotTracking!BL35="Craft",DotTracking!BP35:BT35,0),IF(DotTracking!P36="Craft",DotTracking!T36:X36,0),IF(DotTracking!AN36="Craft",DotTracking!AR36:AV36,0),IF(DotTracking!BL36="Craft",DotTracking!BP36:BT36,0),IF(DotTracking!P37="Craft",DotTracking!T37:X37,0),IF(DotTracking!AN37="Craft",DotTracking!AR37:AV37,0),IF(DotTracking!BL37="Craft",DotTracking!BP37:BT37,0),IF(DotTracking!P38="Craft",DotTracking!T38:X38,0),IF(DotTracking!AN38="Craft",DotTracking!AR38:AV38,0),IF(DotTracking!BL38="Craft",DotTracking!BP38:BT38,0),0)</f>
        <v>0</v>
      </c>
      <c r="BW9" s="2" t="s">
        <v>45</v>
      </c>
      <c r="BX9" s="171">
        <f>SUM(DotTracking!$T19:$X19,DotTracking!$AR19:$AV19,DotTracking!$BP19:$BT19)</f>
        <v>0</v>
      </c>
      <c r="BY9" s="28">
        <f t="shared" si="4"/>
        <v>0</v>
      </c>
      <c r="CC9" s="2"/>
    </row>
    <row r="10" spans="1:84" x14ac:dyDescent="0.25">
      <c r="A10" s="536"/>
      <c r="B10" s="535"/>
      <c r="C10" s="535"/>
      <c r="D10" s="535"/>
      <c r="E10" s="535"/>
      <c r="F10" s="535"/>
      <c r="G10" s="535"/>
      <c r="H10" s="535"/>
      <c r="I10" s="535"/>
      <c r="J10" s="535"/>
      <c r="K10" s="535"/>
      <c r="L10" s="535"/>
      <c r="M10" s="535"/>
      <c r="N10" s="535"/>
      <c r="O10" s="535"/>
      <c r="P10" s="535"/>
      <c r="Q10" s="535"/>
      <c r="R10" s="535"/>
      <c r="S10" s="535"/>
      <c r="T10" s="535"/>
      <c r="U10" s="535"/>
      <c r="V10" s="535"/>
      <c r="W10" s="535"/>
      <c r="X10" s="652"/>
      <c r="Y10" s="393" t="s">
        <v>41</v>
      </c>
      <c r="Z10" s="389"/>
      <c r="AA10" s="389"/>
      <c r="AB10" s="389"/>
      <c r="AC10" s="356">
        <f>SUM(DotTracking!T15:X15,DotTracking!AR15:AV15,DotTracking!BP15:BT15,DotTracking!ES13:EW13,DotTracking!FB13:FF13,DotTracking!FK13:FO13,DotTracking!FT13:FX13,DotTracking!GC13:GG13)</f>
        <v>0</v>
      </c>
      <c r="AD10" s="356"/>
      <c r="AE10" s="356"/>
      <c r="AF10" s="363"/>
      <c r="AG10" s="363"/>
      <c r="AH10" s="356">
        <f t="shared" si="0"/>
        <v>0</v>
      </c>
      <c r="AI10" s="356"/>
      <c r="AJ10" s="712"/>
      <c r="AK10" s="712"/>
      <c r="AL10" s="712"/>
      <c r="AM10" s="713"/>
      <c r="AN10" s="362"/>
      <c r="AO10" s="363"/>
      <c r="AP10" s="363"/>
      <c r="AQ10" s="363"/>
      <c r="AR10" s="363"/>
      <c r="AS10" s="363"/>
      <c r="AT10" s="356" t="str">
        <f t="shared" si="5"/>
        <v/>
      </c>
      <c r="AU10" s="356"/>
      <c r="AV10" s="401"/>
      <c r="AW10" s="362"/>
      <c r="AX10" s="363"/>
      <c r="AY10" s="363"/>
      <c r="AZ10" s="363"/>
      <c r="BA10" s="363"/>
      <c r="BB10" s="363"/>
      <c r="BC10" s="240"/>
      <c r="BD10" s="146">
        <f t="shared" si="1"/>
        <v>0</v>
      </c>
      <c r="BE10" s="356" t="str">
        <f>IF(AW10="","",HLOOKUP(AW10,AssociatedRef!$AP$1:$BZ$123,LOOKUP($CC$2,AssociatedRef!$AP$2:$AP$123,AssociatedRef!$AQ$2:$AQ$123),FALSE))</f>
        <v/>
      </c>
      <c r="BF10" s="356"/>
      <c r="BG10" s="161" t="s">
        <v>361</v>
      </c>
      <c r="BH10" s="149" t="str">
        <f t="shared" si="2"/>
        <v/>
      </c>
      <c r="BI10" s="393" t="s">
        <v>944</v>
      </c>
      <c r="BJ10" s="389"/>
      <c r="BK10" s="356">
        <f>SUM(E31:H31)</f>
        <v>1</v>
      </c>
      <c r="BL10" s="356"/>
      <c r="BM10" s="356">
        <f>SUM(DotTracking!E22:O22,DotTracking!AC22:AM22,DotTracking!BA22:BK22)</f>
        <v>0</v>
      </c>
      <c r="BN10" s="356"/>
      <c r="BO10" s="363"/>
      <c r="BP10" s="363"/>
      <c r="BQ10" s="363"/>
      <c r="BR10" s="363"/>
      <c r="BS10" s="356">
        <f>IF(LOOKUP($CC$2,AssociatedRef!$A$2:$A$123,AssociatedRef!$H$2:$H$123)="Yes",BQ10*4,BQ10*5)</f>
        <v>0</v>
      </c>
      <c r="BT10" s="401"/>
      <c r="BU10" s="2" t="s">
        <v>41</v>
      </c>
      <c r="BV10" s="171">
        <f>SUM(DotTracking!$T15:$X15,DotTracking!$AR15:$AV15,DotTracking!$BP15:$BT15)</f>
        <v>0</v>
      </c>
      <c r="BW10" s="2" t="s">
        <v>46</v>
      </c>
      <c r="BX10" s="171">
        <f>SUM(DotTracking!$T20:$X20,DotTracking!$AR20:$AV20,DotTracking!$BP20:$BT20)</f>
        <v>0</v>
      </c>
      <c r="BY10" s="28">
        <f t="shared" si="4"/>
        <v>0</v>
      </c>
      <c r="CC10" s="2"/>
      <c r="CD10" s="2"/>
    </row>
    <row r="11" spans="1:84" ht="15.75" thickBot="1" x14ac:dyDescent="0.3">
      <c r="A11" s="739"/>
      <c r="B11" s="740"/>
      <c r="C11" s="740"/>
      <c r="D11" s="740"/>
      <c r="E11" s="740"/>
      <c r="F11" s="740"/>
      <c r="G11" s="740"/>
      <c r="H11" s="740"/>
      <c r="I11" s="740"/>
      <c r="J11" s="740"/>
      <c r="K11" s="740"/>
      <c r="L11" s="740"/>
      <c r="M11" s="740"/>
      <c r="N11" s="740"/>
      <c r="O11" s="740"/>
      <c r="P11" s="740"/>
      <c r="Q11" s="740"/>
      <c r="R11" s="740"/>
      <c r="S11" s="740"/>
      <c r="T11" s="740"/>
      <c r="U11" s="740"/>
      <c r="V11" s="740"/>
      <c r="W11" s="740"/>
      <c r="X11" s="741"/>
      <c r="Y11" s="393" t="s">
        <v>42</v>
      </c>
      <c r="Z11" s="389"/>
      <c r="AA11" s="389"/>
      <c r="AB11" s="389"/>
      <c r="AC11" s="356">
        <f>SUM(DotTracking!T16:X16,DotTracking!AR16:AV16,DotTracking!BP16:BT16,DotTracking!ES14:EW14,DotTracking!FB14:FF14,DotTracking!FK14:FO14,DotTracking!FT14:FX14,DotTracking!GC14:GG14)</f>
        <v>0</v>
      </c>
      <c r="AD11" s="356"/>
      <c r="AE11" s="356"/>
      <c r="AF11" s="363"/>
      <c r="AG11" s="363"/>
      <c r="AH11" s="356">
        <f t="shared" si="0"/>
        <v>0</v>
      </c>
      <c r="AI11" s="356"/>
      <c r="AJ11" s="712"/>
      <c r="AK11" s="712"/>
      <c r="AL11" s="712"/>
      <c r="AM11" s="713"/>
      <c r="AN11" s="362"/>
      <c r="AO11" s="363"/>
      <c r="AP11" s="363"/>
      <c r="AQ11" s="363"/>
      <c r="AR11" s="363"/>
      <c r="AS11" s="363"/>
      <c r="AT11" s="356" t="str">
        <f t="shared" si="5"/>
        <v/>
      </c>
      <c r="AU11" s="356"/>
      <c r="AV11" s="401"/>
      <c r="AW11" s="362"/>
      <c r="AX11" s="363"/>
      <c r="AY11" s="363"/>
      <c r="AZ11" s="363"/>
      <c r="BA11" s="363"/>
      <c r="BB11" s="363"/>
      <c r="BC11" s="240"/>
      <c r="BD11" s="146">
        <f t="shared" si="1"/>
        <v>0</v>
      </c>
      <c r="BE11" s="356" t="str">
        <f>IF(AW11="","",HLOOKUP(AW11,AssociatedRef!$AP$1:$BZ$123,LOOKUP($CC$2,AssociatedRef!$AP$2:$AP$123,AssociatedRef!$AQ$2:$AQ$123),FALSE))</f>
        <v/>
      </c>
      <c r="BF11" s="356"/>
      <c r="BG11" s="161" t="s">
        <v>361</v>
      </c>
      <c r="BH11" s="149" t="str">
        <f t="shared" si="2"/>
        <v/>
      </c>
      <c r="BI11" s="393" t="s">
        <v>945</v>
      </c>
      <c r="BJ11" s="389"/>
      <c r="BK11" s="356">
        <f t="shared" ref="BK11" si="7">SUM(E32:H32)</f>
        <v>1</v>
      </c>
      <c r="BL11" s="356"/>
      <c r="BM11" s="356">
        <f>SUM(DotTracking!E23:O23,DotTracking!AC23:AM23,DotTracking!BA23:BK23)</f>
        <v>0</v>
      </c>
      <c r="BN11" s="356"/>
      <c r="BO11" s="363"/>
      <c r="BP11" s="363"/>
      <c r="BQ11" s="363"/>
      <c r="BR11" s="363"/>
      <c r="BS11" s="356">
        <f>IF(LOOKUP($CC$2,AssociatedRef!$A$2:$A$123,AssociatedRef!$I$2:$I$123)="Yes",BQ11*4,BQ11*5)</f>
        <v>0</v>
      </c>
      <c r="BT11" s="401"/>
      <c r="BU11" s="1" t="s">
        <v>932</v>
      </c>
      <c r="BW11" s="2" t="s">
        <v>47</v>
      </c>
      <c r="BX11" s="171">
        <f>SUM(DotTracking!$T21:$X21,DotTracking!$AR21:$AV21,DotTracking!$BP21:$BT21)</f>
        <v>0</v>
      </c>
      <c r="BY11" s="28">
        <f t="shared" si="4"/>
        <v>0</v>
      </c>
      <c r="CC11" s="2"/>
      <c r="CD11" s="2"/>
    </row>
    <row r="12" spans="1:84" x14ac:dyDescent="0.25">
      <c r="A12" s="392" t="s">
        <v>0</v>
      </c>
      <c r="B12" s="391"/>
      <c r="C12" s="391"/>
      <c r="D12" s="391"/>
      <c r="E12" s="370"/>
      <c r="F12" s="370"/>
      <c r="G12" s="370"/>
      <c r="H12" s="370"/>
      <c r="I12" s="370"/>
      <c r="J12" s="370"/>
      <c r="K12" s="370"/>
      <c r="L12" s="370"/>
      <c r="M12" s="370"/>
      <c r="N12" s="371"/>
      <c r="O12" s="392" t="s">
        <v>2</v>
      </c>
      <c r="P12" s="391"/>
      <c r="Q12" s="391"/>
      <c r="R12" s="391"/>
      <c r="S12" s="417">
        <f>Creation!S12</f>
        <v>0</v>
      </c>
      <c r="T12" s="417"/>
      <c r="U12" s="417"/>
      <c r="V12" s="417"/>
      <c r="W12" s="417"/>
      <c r="X12" s="637"/>
      <c r="Y12" s="388" t="s">
        <v>43</v>
      </c>
      <c r="Z12" s="389"/>
      <c r="AA12" s="389"/>
      <c r="AB12" s="389"/>
      <c r="AC12" s="356">
        <f>SUM(DotTracking!T17:X17,DotTracking!AR17:AV17,DotTracking!BP17:BT17,DotTracking!ES15:EW15,DotTracking!FB15:FF15,DotTracking!FK15:FO15,DotTracking!FT15:FX15,DotTracking!GC15:GG15)</f>
        <v>0</v>
      </c>
      <c r="AD12" s="356"/>
      <c r="AE12" s="356"/>
      <c r="AF12" s="363"/>
      <c r="AG12" s="363"/>
      <c r="AH12" s="356">
        <f t="shared" si="0"/>
        <v>0</v>
      </c>
      <c r="AI12" s="356"/>
      <c r="AJ12" s="712"/>
      <c r="AK12" s="712"/>
      <c r="AL12" s="712"/>
      <c r="AM12" s="713"/>
      <c r="AN12" s="362"/>
      <c r="AO12" s="363"/>
      <c r="AP12" s="363"/>
      <c r="AQ12" s="363"/>
      <c r="AR12" s="363"/>
      <c r="AS12" s="363"/>
      <c r="AT12" s="356" t="str">
        <f t="shared" si="5"/>
        <v/>
      </c>
      <c r="AU12" s="356"/>
      <c r="AV12" s="401"/>
      <c r="AW12" s="362"/>
      <c r="AX12" s="363"/>
      <c r="AY12" s="363"/>
      <c r="AZ12" s="363"/>
      <c r="BA12" s="363"/>
      <c r="BB12" s="363"/>
      <c r="BC12" s="240"/>
      <c r="BD12" s="146">
        <f t="shared" si="1"/>
        <v>0</v>
      </c>
      <c r="BE12" s="356" t="str">
        <f>IF(AW12="","",HLOOKUP(AW12,AssociatedRef!$AP$1:$BZ$123,LOOKUP($CC$2,AssociatedRef!$AP$2:$AP$123,AssociatedRef!$AQ$2:$AQ$123),FALSE))</f>
        <v/>
      </c>
      <c r="BF12" s="356"/>
      <c r="BG12" s="161" t="s">
        <v>361</v>
      </c>
      <c r="BH12" s="149" t="str">
        <f t="shared" si="2"/>
        <v/>
      </c>
      <c r="BI12" s="393" t="s">
        <v>21</v>
      </c>
      <c r="BJ12" s="389"/>
      <c r="BK12" s="356">
        <f>SUM(E33:H33)</f>
        <v>1</v>
      </c>
      <c r="BL12" s="356"/>
      <c r="BM12" s="356">
        <f>SUM(DotTracking!E24:O24,DotTracking!AC24:AM24,DotTracking!BA24:BK24)</f>
        <v>0</v>
      </c>
      <c r="BN12" s="356"/>
      <c r="BO12" s="363"/>
      <c r="BP12" s="363"/>
      <c r="BQ12" s="363"/>
      <c r="BR12" s="363"/>
      <c r="BS12" s="356">
        <f>IF(LOOKUP($CC$2,AssociatedRef!$A$2:$A$123,AssociatedRef!$J$2:$J$123)="Yes",BQ12*4,BQ12*5)</f>
        <v>0</v>
      </c>
      <c r="BT12" s="401"/>
      <c r="BU12" s="2" t="s">
        <v>55</v>
      </c>
      <c r="BV12" s="171">
        <f>SUM(IF(DotTracking!P29="Art",DotTracking!T29:X29,0),IF(DotTracking!AN29="Art",DotTracking!AR29:AV29,0),IF(DotTracking!BL29="Art",DotTracking!BP29:BT29,0),IF(DotTracking!P30="Art",DotTracking!T30:X30,0),IF(DotTracking!AN30="Art",DotTracking!AR30:AV30,0),IF(DotTracking!BL30="Art",DotTracking!BP30:BT30,0),IF(DotTracking!P32="Art",DotTracking!T32:X32,0),IF(DotTracking!AN32="Art",DotTracking!AR32:AV32,0),IF(DotTracking!BL32="Art",DotTracking!BP32:BT32,0),IF(DotTracking!P31="Art",DotTracking!T31:X31,0),IF(DotTracking!AN31="Art",DotTracking!AR31:AV31,0),IF(DotTracking!BL31="Art",DotTracking!BP31:BT31,0),IF(DotTracking!P33="Art",DotTracking!T33:X33,0),IF(DotTracking!AN33="Art",DotTracking!AR33:AV33,0),IF(DotTracking!BL33="Art",DotTracking!BP33:BT33,0),IF(DotTracking!P34="Art",DotTracking!T34:X34,0),IF(DotTracking!AN34="Art",DotTracking!AR34:AV34,0),IF(DotTracking!BL34="Art",DotTracking!BP34:BT34,0),IF(DotTracking!P35="Art",DotTracking!T35:X35,0),IF(DotTracking!AN35="Art",DotTracking!AR35:AV35,0),IF(DotTracking!BL35="Art",DotTracking!BP35:BT35,0),IF(DotTracking!P36="Art",DotTracking!T36:X36,0),IF(DotTracking!AN36="Art",DotTracking!AR36:AV36,0),IF(DotTracking!BL36="Art",DotTracking!BP36:BT36,0),IF(DotTracking!P37="Art",DotTracking!T37:X37,0),IF(DotTracking!AN37="Art",DotTracking!AR37:AV37,0),IF(DotTracking!BL37="Art",DotTracking!BP37:BT37,0),IF(DotTracking!P38="Art",DotTracking!T38:X38,0),IF(DotTracking!AN38="Art",DotTracking!AR38:AV38,0),IF(DotTracking!BL38="Art",DotTracking!BP38:BT38,0),0)</f>
        <v>0</v>
      </c>
      <c r="BW12" s="2" t="s">
        <v>48</v>
      </c>
      <c r="BX12" s="171">
        <f>SUM(DotTracking!$T22:$X22,DotTracking!$AR22:$AV22,DotTracking!$BP22:$BT22)</f>
        <v>0</v>
      </c>
      <c r="BY12" s="28">
        <f t="shared" si="4"/>
        <v>0</v>
      </c>
      <c r="CB12" s="2"/>
      <c r="CC12" s="2"/>
    </row>
    <row r="13" spans="1:84" ht="15.75" thickBot="1" x14ac:dyDescent="0.3">
      <c r="A13" s="396" t="s">
        <v>1</v>
      </c>
      <c r="B13" s="395"/>
      <c r="C13" s="395"/>
      <c r="D13" s="395"/>
      <c r="E13" s="366"/>
      <c r="F13" s="366"/>
      <c r="G13" s="366"/>
      <c r="H13" s="366"/>
      <c r="I13" s="366"/>
      <c r="J13" s="366"/>
      <c r="K13" s="366"/>
      <c r="L13" s="366"/>
      <c r="M13" s="366"/>
      <c r="N13" s="372"/>
      <c r="O13" s="396" t="s">
        <v>4</v>
      </c>
      <c r="P13" s="395"/>
      <c r="Q13" s="395"/>
      <c r="R13" s="395"/>
      <c r="S13" s="667"/>
      <c r="T13" s="667"/>
      <c r="U13" s="667"/>
      <c r="V13" s="667"/>
      <c r="W13" s="667"/>
      <c r="X13" s="668"/>
      <c r="Y13" s="388" t="s">
        <v>44</v>
      </c>
      <c r="Z13" s="389"/>
      <c r="AA13" s="389"/>
      <c r="AB13" s="389"/>
      <c r="AC13" s="356">
        <f>SUM(DotTracking!T18:X18,DotTracking!AR18:AV18,DotTracking!BP18:BT18,DotTracking!ES16:EW16,DotTracking!FB16:FF16,DotTracking!FK16:FO16,DotTracking!FT16:FX16,DotTracking!GC16:GG16)</f>
        <v>0</v>
      </c>
      <c r="AD13" s="356"/>
      <c r="AE13" s="356"/>
      <c r="AF13" s="363"/>
      <c r="AG13" s="363"/>
      <c r="AH13" s="356">
        <f t="shared" si="0"/>
        <v>0</v>
      </c>
      <c r="AI13" s="356"/>
      <c r="AJ13" s="712"/>
      <c r="AK13" s="712"/>
      <c r="AL13" s="712"/>
      <c r="AM13" s="713"/>
      <c r="AN13" s="362"/>
      <c r="AO13" s="363"/>
      <c r="AP13" s="363"/>
      <c r="AQ13" s="363"/>
      <c r="AR13" s="363"/>
      <c r="AS13" s="363"/>
      <c r="AT13" s="356" t="str">
        <f t="shared" si="5"/>
        <v/>
      </c>
      <c r="AU13" s="356"/>
      <c r="AV13" s="401"/>
      <c r="AW13" s="362"/>
      <c r="AX13" s="363"/>
      <c r="AY13" s="363"/>
      <c r="AZ13" s="363"/>
      <c r="BA13" s="363"/>
      <c r="BB13" s="363"/>
      <c r="BC13" s="240"/>
      <c r="BD13" s="146">
        <f t="shared" si="1"/>
        <v>0</v>
      </c>
      <c r="BE13" s="356" t="str">
        <f>IF(AW13="","",HLOOKUP(AW13,AssociatedRef!$AP$1:$BZ$123,LOOKUP($CC$2,AssociatedRef!$AP$2:$AP$123,AssociatedRef!$AQ$2:$AQ$123),FALSE))</f>
        <v/>
      </c>
      <c r="BF13" s="356"/>
      <c r="BG13" s="161" t="s">
        <v>361</v>
      </c>
      <c r="BH13" s="149" t="str">
        <f t="shared" si="2"/>
        <v/>
      </c>
      <c r="BI13" s="679"/>
      <c r="BJ13" s="434"/>
      <c r="BK13" s="434"/>
      <c r="BL13" s="434"/>
      <c r="BM13" s="395" t="s">
        <v>28</v>
      </c>
      <c r="BN13" s="395"/>
      <c r="BO13" s="434">
        <f>SUM(BO4:BP12)</f>
        <v>0</v>
      </c>
      <c r="BP13" s="434"/>
      <c r="BQ13" s="434">
        <f t="shared" ref="BQ13" si="8">SUM(BQ4:BR12)</f>
        <v>0</v>
      </c>
      <c r="BR13" s="434"/>
      <c r="BS13" s="434">
        <f t="shared" ref="BS13" si="9">SUM(BS4:BT12)</f>
        <v>0</v>
      </c>
      <c r="BT13" s="474"/>
      <c r="BU13" s="2" t="s">
        <v>37</v>
      </c>
      <c r="BV13" s="171">
        <f>SUM(DotTracking!$T11:$X11,DotTracking!$AR11:$AV12,DotTracking!$BP11:$BT11)</f>
        <v>0</v>
      </c>
      <c r="BW13" s="2" t="s">
        <v>49</v>
      </c>
      <c r="BX13" s="171">
        <f>SUM(DotTracking!$T23:$X23,DotTracking!$AR23:$AV23,DotTracking!$BP23:$BT23)</f>
        <v>0</v>
      </c>
      <c r="BY13" s="28">
        <f t="shared" si="4"/>
        <v>0</v>
      </c>
      <c r="CB13" s="2"/>
      <c r="CC13" s="2"/>
    </row>
    <row r="14" spans="1:84" x14ac:dyDescent="0.25">
      <c r="A14" s="705" t="s">
        <v>512</v>
      </c>
      <c r="B14" s="689"/>
      <c r="C14" s="689"/>
      <c r="D14" s="689"/>
      <c r="E14" s="689"/>
      <c r="F14" s="689"/>
      <c r="G14" s="689"/>
      <c r="H14" s="689"/>
      <c r="I14" s="689"/>
      <c r="J14" s="689"/>
      <c r="K14" s="689"/>
      <c r="L14" s="689"/>
      <c r="M14" s="689"/>
      <c r="N14" s="689"/>
      <c r="O14" s="689"/>
      <c r="P14" s="689"/>
      <c r="Q14" s="689"/>
      <c r="R14" s="689"/>
      <c r="S14" s="689"/>
      <c r="T14" s="689"/>
      <c r="U14" s="689"/>
      <c r="V14" s="689"/>
      <c r="W14" s="689"/>
      <c r="X14" s="706"/>
      <c r="Y14" s="393" t="s">
        <v>45</v>
      </c>
      <c r="Z14" s="389"/>
      <c r="AA14" s="389"/>
      <c r="AB14" s="389"/>
      <c r="AC14" s="356">
        <f>SUM(DotTracking!T19:X19,DotTracking!AR19:AV19,DotTracking!BP19:BT19,DotTracking!ES17:EW17,DotTracking!FB17:FF17,DotTracking!FK17:FO17,DotTracking!FT17:FX17,DotTracking!GC17:GG17)</f>
        <v>0</v>
      </c>
      <c r="AD14" s="356"/>
      <c r="AE14" s="356"/>
      <c r="AF14" s="363"/>
      <c r="AG14" s="363"/>
      <c r="AH14" s="356">
        <f t="shared" si="0"/>
        <v>0</v>
      </c>
      <c r="AI14" s="356"/>
      <c r="AJ14" s="712"/>
      <c r="AK14" s="712"/>
      <c r="AL14" s="712"/>
      <c r="AM14" s="713"/>
      <c r="AN14" s="362"/>
      <c r="AO14" s="363"/>
      <c r="AP14" s="363"/>
      <c r="AQ14" s="363"/>
      <c r="AR14" s="363"/>
      <c r="AS14" s="363"/>
      <c r="AT14" s="356" t="str">
        <f t="shared" si="5"/>
        <v/>
      </c>
      <c r="AU14" s="356"/>
      <c r="AV14" s="401"/>
      <c r="AW14" s="362"/>
      <c r="AX14" s="363"/>
      <c r="AY14" s="363"/>
      <c r="AZ14" s="363"/>
      <c r="BA14" s="363"/>
      <c r="BB14" s="363"/>
      <c r="BC14" s="240"/>
      <c r="BD14" s="146">
        <f t="shared" si="1"/>
        <v>0</v>
      </c>
      <c r="BE14" s="356" t="str">
        <f>IF(AW14="","",HLOOKUP(AW14,AssociatedRef!$AP$1:$BZ$123,LOOKUP($CC$2,AssociatedRef!$AP$2:$AP$123,AssociatedRef!$AQ$2:$AQ$123),FALSE))</f>
        <v/>
      </c>
      <c r="BF14" s="356"/>
      <c r="BG14" s="161" t="s">
        <v>361</v>
      </c>
      <c r="BH14" s="149" t="str">
        <f t="shared" si="2"/>
        <v/>
      </c>
      <c r="BI14" s="392" t="s">
        <v>73</v>
      </c>
      <c r="BJ14" s="391"/>
      <c r="BK14" s="391"/>
      <c r="BL14" s="391"/>
      <c r="BM14" s="391"/>
      <c r="BN14" s="391"/>
      <c r="BO14" s="417">
        <f>SUM(BO13,BD4:BD46)</f>
        <v>0</v>
      </c>
      <c r="BP14" s="637"/>
      <c r="BQ14" s="657"/>
      <c r="BR14" s="657"/>
      <c r="BS14" s="657"/>
      <c r="BT14" s="658"/>
      <c r="BU14" s="2" t="s">
        <v>38</v>
      </c>
      <c r="BV14" s="171">
        <f>SUM(DotTracking!$T12:$X12,DotTracking!$AR12:$AV13,DotTracking!$BP12:$BT12)</f>
        <v>0</v>
      </c>
      <c r="BW14" s="2" t="s">
        <v>50</v>
      </c>
      <c r="BX14" s="171">
        <f>SUM(DotTracking!$T24:$X24,DotTracking!$AR24:$AV24,DotTracking!$BP24:$BT24)</f>
        <v>0</v>
      </c>
      <c r="BY14" s="28">
        <f t="shared" si="4"/>
        <v>0</v>
      </c>
      <c r="CB14" s="2"/>
      <c r="CC14" s="2"/>
    </row>
    <row r="15" spans="1:84" ht="15.75" thickBot="1" x14ac:dyDescent="0.3">
      <c r="A15" s="396"/>
      <c r="B15" s="395"/>
      <c r="C15" s="395"/>
      <c r="D15" s="395"/>
      <c r="E15" s="395"/>
      <c r="F15" s="395"/>
      <c r="G15" s="395"/>
      <c r="H15" s="395"/>
      <c r="I15" s="395"/>
      <c r="J15" s="395"/>
      <c r="K15" s="395"/>
      <c r="L15" s="395"/>
      <c r="M15" s="395"/>
      <c r="N15" s="395"/>
      <c r="O15" s="395"/>
      <c r="P15" s="395"/>
      <c r="Q15" s="395"/>
      <c r="R15" s="395"/>
      <c r="S15" s="395"/>
      <c r="T15" s="395"/>
      <c r="U15" s="395"/>
      <c r="V15" s="395"/>
      <c r="W15" s="395"/>
      <c r="X15" s="475"/>
      <c r="Y15" s="393" t="s">
        <v>46</v>
      </c>
      <c r="Z15" s="389"/>
      <c r="AA15" s="389"/>
      <c r="AB15" s="389"/>
      <c r="AC15" s="356">
        <f>SUM(DotTracking!T20:X20,DotTracking!AR20:AV20,DotTracking!BP20:BT20,DotTracking!ES18:EW18,DotTracking!FB18:FF18,DotTracking!FK18:FO18,DotTracking!FT18:FX18,DotTracking!GC18:GG18)</f>
        <v>0</v>
      </c>
      <c r="AD15" s="356"/>
      <c r="AE15" s="356"/>
      <c r="AF15" s="363"/>
      <c r="AG15" s="363"/>
      <c r="AH15" s="356">
        <f t="shared" si="0"/>
        <v>0</v>
      </c>
      <c r="AI15" s="356"/>
      <c r="AJ15" s="712"/>
      <c r="AK15" s="712"/>
      <c r="AL15" s="712"/>
      <c r="AM15" s="713"/>
      <c r="AN15" s="362"/>
      <c r="AO15" s="363"/>
      <c r="AP15" s="363"/>
      <c r="AQ15" s="363"/>
      <c r="AR15" s="363"/>
      <c r="AS15" s="363"/>
      <c r="AT15" s="356" t="str">
        <f t="shared" si="5"/>
        <v/>
      </c>
      <c r="AU15" s="356"/>
      <c r="AV15" s="401"/>
      <c r="AW15" s="362"/>
      <c r="AX15" s="363"/>
      <c r="AY15" s="363"/>
      <c r="AZ15" s="363"/>
      <c r="BA15" s="363"/>
      <c r="BB15" s="363"/>
      <c r="BC15" s="240"/>
      <c r="BD15" s="146">
        <f t="shared" si="1"/>
        <v>0</v>
      </c>
      <c r="BE15" s="356" t="str">
        <f>IF(AW15="","",HLOOKUP(AW15,AssociatedRef!$AP$1:$BZ$123,LOOKUP($CC$2,AssociatedRef!$AP$2:$AP$123,AssociatedRef!$AQ$2:$AQ$123),FALSE))</f>
        <v/>
      </c>
      <c r="BF15" s="356"/>
      <c r="BG15" s="161" t="s">
        <v>361</v>
      </c>
      <c r="BH15" s="149" t="str">
        <f t="shared" si="2"/>
        <v/>
      </c>
      <c r="BI15" s="393"/>
      <c r="BJ15" s="389"/>
      <c r="BK15" s="389"/>
      <c r="BL15" s="389"/>
      <c r="BM15" s="389"/>
      <c r="BN15" s="389"/>
      <c r="BO15" s="356"/>
      <c r="BP15" s="401"/>
      <c r="BQ15" s="657"/>
      <c r="BR15" s="657"/>
      <c r="BS15" s="657"/>
      <c r="BT15" s="658"/>
      <c r="BU15" s="2" t="s">
        <v>39</v>
      </c>
      <c r="BV15" s="171">
        <f>SUM(DotTracking!$T13:$X13,DotTracking!$AR13:$AV14,DotTracking!$BP13:$BT13)</f>
        <v>0</v>
      </c>
      <c r="BW15" s="2" t="s">
        <v>51</v>
      </c>
      <c r="BX15" s="171">
        <f>SUM(DotTracking!$T25:$X25,DotTracking!$AR25:$AV25,DotTracking!$BP25:$BT25)</f>
        <v>0</v>
      </c>
      <c r="BY15" s="28">
        <f t="shared" si="4"/>
        <v>0</v>
      </c>
      <c r="CB15" s="2"/>
      <c r="CC15" s="2"/>
    </row>
    <row r="16" spans="1:84" x14ac:dyDescent="0.25">
      <c r="A16" s="373" t="s">
        <v>8</v>
      </c>
      <c r="B16" s="374"/>
      <c r="C16" s="374"/>
      <c r="D16" s="374"/>
      <c r="E16" s="374"/>
      <c r="F16" s="374"/>
      <c r="G16" s="374"/>
      <c r="H16" s="374"/>
      <c r="I16" s="374"/>
      <c r="J16" s="374"/>
      <c r="K16" s="374"/>
      <c r="L16" s="375"/>
      <c r="M16" s="373" t="s">
        <v>9</v>
      </c>
      <c r="N16" s="374"/>
      <c r="O16" s="374"/>
      <c r="P16" s="374"/>
      <c r="Q16" s="374"/>
      <c r="R16" s="374"/>
      <c r="S16" s="374"/>
      <c r="T16" s="374"/>
      <c r="U16" s="374"/>
      <c r="V16" s="374"/>
      <c r="W16" s="374"/>
      <c r="X16" s="375"/>
      <c r="Y16" s="393" t="s">
        <v>47</v>
      </c>
      <c r="Z16" s="389"/>
      <c r="AA16" s="389"/>
      <c r="AB16" s="389"/>
      <c r="AC16" s="356">
        <f>SUM(DotTracking!T21:X21,DotTracking!AR21:AV21,DotTracking!BP21:BT21,DotTracking!ES19:EW19,DotTracking!FB19:FF19,DotTracking!FK19:FO19,DotTracking!FT19:FX19,DotTracking!GC19:GG19)</f>
        <v>0</v>
      </c>
      <c r="AD16" s="356"/>
      <c r="AE16" s="356"/>
      <c r="AF16" s="363"/>
      <c r="AG16" s="363"/>
      <c r="AH16" s="356">
        <f t="shared" si="0"/>
        <v>0</v>
      </c>
      <c r="AI16" s="356"/>
      <c r="AJ16" s="712"/>
      <c r="AK16" s="712"/>
      <c r="AL16" s="712"/>
      <c r="AM16" s="713"/>
      <c r="AN16" s="362"/>
      <c r="AO16" s="363"/>
      <c r="AP16" s="363"/>
      <c r="AQ16" s="363"/>
      <c r="AR16" s="363"/>
      <c r="AS16" s="363"/>
      <c r="AT16" s="356" t="str">
        <f t="shared" si="5"/>
        <v/>
      </c>
      <c r="AU16" s="356"/>
      <c r="AV16" s="401"/>
      <c r="AW16" s="362"/>
      <c r="AX16" s="363"/>
      <c r="AY16" s="363"/>
      <c r="AZ16" s="363"/>
      <c r="BA16" s="363"/>
      <c r="BB16" s="363"/>
      <c r="BC16" s="240"/>
      <c r="BD16" s="146">
        <f t="shared" si="1"/>
        <v>0</v>
      </c>
      <c r="BE16" s="356" t="str">
        <f>IF(AW16="","",HLOOKUP(AW16,AssociatedRef!$AP$1:$BZ$123,LOOKUP($CC$2,AssociatedRef!$AP$2:$AP$123,AssociatedRef!$AQ$2:$AQ$123),FALSE))</f>
        <v/>
      </c>
      <c r="BF16" s="356"/>
      <c r="BG16" s="161" t="s">
        <v>361</v>
      </c>
      <c r="BH16" s="149" t="str">
        <f t="shared" si="2"/>
        <v/>
      </c>
      <c r="BI16" s="393" t="s">
        <v>32</v>
      </c>
      <c r="BJ16" s="389"/>
      <c r="BK16" s="389"/>
      <c r="BL16" s="389"/>
      <c r="BM16" s="389"/>
      <c r="BN16" s="389"/>
      <c r="BO16" s="356">
        <f>10-BO14</f>
        <v>10</v>
      </c>
      <c r="BP16" s="401"/>
      <c r="BQ16" s="657"/>
      <c r="BR16" s="657"/>
      <c r="BS16" s="657"/>
      <c r="BT16" s="658"/>
      <c r="BU16" s="2" t="s">
        <v>40</v>
      </c>
      <c r="BV16" s="171">
        <f>SUM(DotTracking!$T14:$X14,DotTracking!$AR14:$AV15,DotTracking!$BP14:$BT14)</f>
        <v>0</v>
      </c>
      <c r="BW16" s="1" t="s">
        <v>935</v>
      </c>
      <c r="BX16" s="171"/>
      <c r="BY16" s="28">
        <f t="shared" si="4"/>
        <v>0</v>
      </c>
      <c r="CB16" s="2"/>
      <c r="CC16" s="2"/>
    </row>
    <row r="17" spans="1:81" ht="15.75" thickBot="1" x14ac:dyDescent="0.3">
      <c r="A17" s="376"/>
      <c r="B17" s="377"/>
      <c r="C17" s="377"/>
      <c r="D17" s="377"/>
      <c r="E17" s="377"/>
      <c r="F17" s="377"/>
      <c r="G17" s="377"/>
      <c r="H17" s="377"/>
      <c r="I17" s="377"/>
      <c r="J17" s="377"/>
      <c r="K17" s="377"/>
      <c r="L17" s="418"/>
      <c r="M17" s="376"/>
      <c r="N17" s="377"/>
      <c r="O17" s="377"/>
      <c r="P17" s="377"/>
      <c r="Q17" s="377"/>
      <c r="R17" s="377"/>
      <c r="S17" s="377"/>
      <c r="T17" s="377"/>
      <c r="U17" s="377"/>
      <c r="V17" s="377"/>
      <c r="W17" s="377"/>
      <c r="X17" s="418"/>
      <c r="Y17" s="393" t="s">
        <v>48</v>
      </c>
      <c r="Z17" s="389"/>
      <c r="AA17" s="389"/>
      <c r="AB17" s="389"/>
      <c r="AC17" s="356">
        <f>SUM(DotTracking!T22:X22,DotTracking!AR22:AV22,DotTracking!BP22:BT22,DotTracking!ES20:EW20,DotTracking!FB20:FF20,DotTracking!FK20:FO20,DotTracking!FT20:FX20,DotTracking!GC20:GG20)</f>
        <v>0</v>
      </c>
      <c r="AD17" s="356"/>
      <c r="AE17" s="356"/>
      <c r="AF17" s="363"/>
      <c r="AG17" s="363"/>
      <c r="AH17" s="356">
        <f t="shared" si="0"/>
        <v>0</v>
      </c>
      <c r="AI17" s="356"/>
      <c r="AJ17" s="712"/>
      <c r="AK17" s="712"/>
      <c r="AL17" s="712"/>
      <c r="AM17" s="713"/>
      <c r="AN17" s="362"/>
      <c r="AO17" s="363"/>
      <c r="AP17" s="363"/>
      <c r="AQ17" s="363"/>
      <c r="AR17" s="363"/>
      <c r="AS17" s="363"/>
      <c r="AT17" s="356" t="str">
        <f t="shared" si="5"/>
        <v/>
      </c>
      <c r="AU17" s="356"/>
      <c r="AV17" s="401"/>
      <c r="AW17" s="362"/>
      <c r="AX17" s="363"/>
      <c r="AY17" s="363"/>
      <c r="AZ17" s="363"/>
      <c r="BA17" s="363"/>
      <c r="BB17" s="363"/>
      <c r="BC17" s="240"/>
      <c r="BD17" s="146">
        <f t="shared" si="1"/>
        <v>0</v>
      </c>
      <c r="BE17" s="356" t="str">
        <f>IF(AW17="","",HLOOKUP(AW17,AssociatedRef!$AP$1:$BZ$123,LOOKUP($CC$2,AssociatedRef!$AP$2:$AP$123,AssociatedRef!$AQ$2:$AQ$123),FALSE))</f>
        <v/>
      </c>
      <c r="BF17" s="356"/>
      <c r="BG17" s="161" t="s">
        <v>361</v>
      </c>
      <c r="BH17" s="149" t="str">
        <f t="shared" si="2"/>
        <v/>
      </c>
      <c r="BI17" s="396" t="s">
        <v>29</v>
      </c>
      <c r="BJ17" s="395"/>
      <c r="BK17" s="395"/>
      <c r="BL17" s="395"/>
      <c r="BM17" s="395"/>
      <c r="BN17" s="395"/>
      <c r="BO17" s="434" t="str">
        <f>IF(BO16=0,"Yes","No")</f>
        <v>No</v>
      </c>
      <c r="BP17" s="474"/>
      <c r="BQ17" s="657"/>
      <c r="BR17" s="657"/>
      <c r="BS17" s="657"/>
      <c r="BT17" s="658"/>
      <c r="BU17" s="2" t="s">
        <v>56</v>
      </c>
      <c r="BV17" s="171">
        <f>SUM(IF(DotTracking!P29="Control",DotTracking!T29:X29,0),IF(DotTracking!AN29="Control",DotTracking!AR29:AV29,0),IF(DotTracking!BL29="Control",DotTracking!BP29:BT29,0),IF(DotTracking!P30="Control",DotTracking!T30:X30,0),IF(DotTracking!AN30="Control",DotTracking!AR30:AV30,0),IF(DotTracking!BL30="Control",DotTracking!BP30:BT30,0),IF(DotTracking!P32="Control",DotTracking!T32:X32,0),IF(DotTracking!AN32="Control",DotTracking!AR32:AV32,0),IF(DotTracking!BL32="Control",DotTracking!BP32:BT32,0),IF(DotTracking!P31="Control",DotTracking!T31:X31,0),IF(DotTracking!AN31="Control",DotTracking!AR31:AV31,0),IF(DotTracking!BL31="Control",DotTracking!BP31:BT31,0),IF(DotTracking!P33="Control",DotTracking!T33:X33,0),IF(DotTracking!AN33="Control",DotTracking!AR33:AV33,0),IF(DotTracking!BL33="Control",DotTracking!BP33:BT33,0),IF(DotTracking!P34="Control",DotTracking!T34:X34,0),IF(DotTracking!AN34="Control",DotTracking!AR34:AV34,0),IF(DotTracking!BL34="Control",DotTracking!BP34:BT34,0),IF(DotTracking!P35="Control",DotTracking!T35:X35,0),IF(DotTracking!AN35="Control",DotTracking!AR35:AV35,0),IF(DotTracking!BL35="Control",DotTracking!BP35:BT35,0),IF(DotTracking!P36="Control",DotTracking!T36:X36,0),IF(DotTracking!AN36="Control",DotTracking!AR36:AV36,0),IF(DotTracking!BL36="Control",DotTracking!BP36:BT36,0),IF(DotTracking!P37="Control",DotTracking!T37:X37,0),IF(DotTracking!AN37="Control",DotTracking!AR37:AV37,0),IF(DotTracking!BL37="Control",DotTracking!BP37:BT37,0),IF(DotTracking!P38="Control",DotTracking!T38:X38,0),IF(DotTracking!AN38="Control",DotTracking!AR38:AV38,0),IF(DotTracking!BL38="Control",DotTracking!BP38:BT38,0),0)</f>
        <v>0</v>
      </c>
      <c r="BW17" s="2" t="s">
        <v>42</v>
      </c>
      <c r="BX17" s="171">
        <f>SUM(DotTracking!$T16:$X16,DotTracking!$AR16:$AV16,DotTracking!$BP16:$BT16)</f>
        <v>0</v>
      </c>
      <c r="BY17" s="28">
        <f t="shared" si="4"/>
        <v>0</v>
      </c>
      <c r="CA17" s="28" t="s">
        <v>361</v>
      </c>
      <c r="CB17" s="2"/>
      <c r="CC17" s="2"/>
    </row>
    <row r="18" spans="1:81" x14ac:dyDescent="0.25">
      <c r="A18" s="680"/>
      <c r="B18" s="417"/>
      <c r="C18" s="417"/>
      <c r="D18" s="417"/>
      <c r="E18" s="391" t="s">
        <v>151</v>
      </c>
      <c r="F18" s="391"/>
      <c r="G18" s="391" t="s">
        <v>152</v>
      </c>
      <c r="H18" s="391"/>
      <c r="I18" s="391" t="s">
        <v>11</v>
      </c>
      <c r="J18" s="391"/>
      <c r="K18" s="391"/>
      <c r="L18" s="409"/>
      <c r="M18" s="680"/>
      <c r="N18" s="417"/>
      <c r="O18" s="417"/>
      <c r="P18" s="417"/>
      <c r="Q18" s="391" t="s">
        <v>12</v>
      </c>
      <c r="R18" s="391"/>
      <c r="S18" s="391"/>
      <c r="T18" s="391"/>
      <c r="U18" s="391" t="s">
        <v>10</v>
      </c>
      <c r="V18" s="391"/>
      <c r="W18" s="391"/>
      <c r="X18" s="409"/>
      <c r="Y18" s="393" t="s">
        <v>49</v>
      </c>
      <c r="Z18" s="389"/>
      <c r="AA18" s="389"/>
      <c r="AB18" s="389"/>
      <c r="AC18" s="356">
        <f>SUM(DotTracking!T23:X23,DotTracking!AR23:AV23,DotTracking!BP23:BT23,DotTracking!ES21:EW21,DotTracking!FB21:FF21,DotTracking!FK21:FO21,DotTracking!FT21:FX21,DotTracking!GC21:GG21)</f>
        <v>0</v>
      </c>
      <c r="AD18" s="356"/>
      <c r="AE18" s="356"/>
      <c r="AF18" s="363"/>
      <c r="AG18" s="363"/>
      <c r="AH18" s="356">
        <f t="shared" si="0"/>
        <v>0</v>
      </c>
      <c r="AI18" s="356"/>
      <c r="AJ18" s="712"/>
      <c r="AK18" s="712"/>
      <c r="AL18" s="712"/>
      <c r="AM18" s="713"/>
      <c r="AN18" s="362"/>
      <c r="AO18" s="363"/>
      <c r="AP18" s="363"/>
      <c r="AQ18" s="363"/>
      <c r="AR18" s="363"/>
      <c r="AS18" s="363"/>
      <c r="AT18" s="356" t="str">
        <f t="shared" si="5"/>
        <v/>
      </c>
      <c r="AU18" s="356"/>
      <c r="AV18" s="401"/>
      <c r="AW18" s="362"/>
      <c r="AX18" s="363"/>
      <c r="AY18" s="363"/>
      <c r="AZ18" s="363"/>
      <c r="BA18" s="363"/>
      <c r="BB18" s="363"/>
      <c r="BC18" s="240"/>
      <c r="BD18" s="146">
        <f t="shared" si="1"/>
        <v>0</v>
      </c>
      <c r="BE18" s="356" t="str">
        <f>IF(AW18="","",HLOOKUP(AW18,AssociatedRef!$AP$1:$BZ$123,LOOKUP($CC$2,AssociatedRef!$AP$2:$AP$123,AssociatedRef!$AQ$2:$AQ$123),FALSE))</f>
        <v/>
      </c>
      <c r="BF18" s="356"/>
      <c r="BG18" s="161" t="s">
        <v>361</v>
      </c>
      <c r="BH18" s="149" t="str">
        <f t="shared" si="2"/>
        <v/>
      </c>
      <c r="BI18" s="373" t="s">
        <v>155</v>
      </c>
      <c r="BJ18" s="374"/>
      <c r="BK18" s="374"/>
      <c r="BL18" s="374"/>
      <c r="BM18" s="374"/>
      <c r="BN18" s="374"/>
      <c r="BO18" s="374"/>
      <c r="BP18" s="374"/>
      <c r="BQ18" s="374"/>
      <c r="BR18" s="374"/>
      <c r="BS18" s="374"/>
      <c r="BT18" s="375"/>
      <c r="BU18" s="2" t="s">
        <v>57</v>
      </c>
      <c r="BV18" s="171">
        <f>SUM(IF(DotTracking!P29="Craft",DotTracking!T29:X29,0),IF(DotTracking!AN29="Craft",DotTracking!AR29:AV29,0),IF(DotTracking!BL29="Craft",DotTracking!BP29:BT29,0),IF(DotTracking!P30="Craft",DotTracking!T30:X30,0),IF(DotTracking!AN30="Craft",DotTracking!AR30:AV30,0),IF(DotTracking!BL30="Craft",DotTracking!BP30:BT30,0),IF(DotTracking!P32="Craft",DotTracking!T32:X32,0),IF(DotTracking!AN32="Craft",DotTracking!AR32:AV32,0),IF(DotTracking!BL32="Craft",DotTracking!BP32:BT32,0),IF(DotTracking!P31="Craft",DotTracking!T31:X31,0),IF(DotTracking!AN31="Craft",DotTracking!AR31:AV31,0),IF(DotTracking!BL31="Craft",DotTracking!BP31:BT31,0),IF(DotTracking!P33="Craft",DotTracking!T33:X33,0),IF(DotTracking!AN33="Craft",DotTracking!AR33:AV33,0),IF(DotTracking!BL33="Craft",DotTracking!BP33:BT33,0),IF(DotTracking!P34="Craft",DotTracking!T34:X34,0),IF(DotTracking!AN34="Craft",DotTracking!AR34:AV34,0),IF(DotTracking!BL34="Craft",DotTracking!BP34:BT34,0),IF(DotTracking!P35="Craft",DotTracking!T35:X35,0),IF(DotTracking!AN35="Craft",DotTracking!AR35:AV35,0),IF(DotTracking!BL35="Craft",DotTracking!BP35:BT35,0),IF(DotTracking!P36="Craft",DotTracking!T36:X36,0),IF(DotTracking!AN36="Craft",DotTracking!AR36:AV36,0),IF(DotTracking!BL36="Craft",DotTracking!BP36:BT36,0),IF(DotTracking!P37="Craft",DotTracking!T37:X37,0),IF(DotTracking!AN37="Craft",DotTracking!AR37:AV37,0),IF(DotTracking!BL37="Craft",DotTracking!BP37:BT37,0),IF(DotTracking!P38="Craft",DotTracking!T38:X38,0),IF(DotTracking!AN38="Craft",DotTracking!AR38:AV38,0),IF(DotTracking!BL38="Craft",DotTracking!BP38:BT38,0),0)</f>
        <v>0</v>
      </c>
      <c r="BW18" s="2" t="s">
        <v>43</v>
      </c>
      <c r="BX18" s="171">
        <f>SUM(DotTracking!$T17:$X17,DotTracking!$AR17:$AV17,DotTracking!$BP17:$BT17)</f>
        <v>0</v>
      </c>
      <c r="BY18" s="28">
        <f t="shared" si="4"/>
        <v>0</v>
      </c>
      <c r="CB18" s="2"/>
      <c r="CC18" s="2"/>
    </row>
    <row r="19" spans="1:81" ht="15.75" thickBot="1" x14ac:dyDescent="0.3">
      <c r="A19" s="393" t="s">
        <v>30</v>
      </c>
      <c r="B19" s="389"/>
      <c r="C19" s="389"/>
      <c r="D19" s="389"/>
      <c r="E19" s="356">
        <f>SUM(DotTracking!E6:O6,DotTracking!AC6:AM6,DotTracking!BA6:BK6)</f>
        <v>1</v>
      </c>
      <c r="F19" s="356"/>
      <c r="G19" s="363"/>
      <c r="H19" s="363"/>
      <c r="I19" s="363"/>
      <c r="J19" s="363"/>
      <c r="K19" s="363"/>
      <c r="L19" s="369"/>
      <c r="M19" s="393" t="s">
        <v>22</v>
      </c>
      <c r="N19" s="389"/>
      <c r="O19" s="389"/>
      <c r="P19" s="389"/>
      <c r="Q19" s="356" t="str">
        <f>Creation!Q28</f>
        <v>Select God</v>
      </c>
      <c r="R19" s="356"/>
      <c r="S19" s="356"/>
      <c r="T19" s="356"/>
      <c r="U19" s="356">
        <f>LOOKUP(Q19,BU2:BU10,BV2:BV10)</f>
        <v>0</v>
      </c>
      <c r="V19" s="356"/>
      <c r="W19" s="356"/>
      <c r="X19" s="401"/>
      <c r="Y19" s="393" t="s">
        <v>50</v>
      </c>
      <c r="Z19" s="389"/>
      <c r="AA19" s="389"/>
      <c r="AB19" s="389"/>
      <c r="AC19" s="356">
        <f>SUM(DotTracking!T24:X24,DotTracking!AR24:AV24,DotTracking!BP24:BT24,DotTracking!ES22:EW22,DotTracking!FB22:FF22,DotTracking!FK22:FO22,DotTracking!FT22:FX22,DotTracking!GC22:GG22)</f>
        <v>0</v>
      </c>
      <c r="AD19" s="356"/>
      <c r="AE19" s="356"/>
      <c r="AF19" s="363"/>
      <c r="AG19" s="363"/>
      <c r="AH19" s="356">
        <f t="shared" si="0"/>
        <v>0</v>
      </c>
      <c r="AI19" s="356"/>
      <c r="AJ19" s="712"/>
      <c r="AK19" s="712"/>
      <c r="AL19" s="712"/>
      <c r="AM19" s="713"/>
      <c r="AN19" s="362"/>
      <c r="AO19" s="363"/>
      <c r="AP19" s="363"/>
      <c r="AQ19" s="363"/>
      <c r="AR19" s="363"/>
      <c r="AS19" s="363"/>
      <c r="AT19" s="356" t="str">
        <f t="shared" si="5"/>
        <v/>
      </c>
      <c r="AU19" s="356"/>
      <c r="AV19" s="401"/>
      <c r="AW19" s="362"/>
      <c r="AX19" s="363"/>
      <c r="AY19" s="363"/>
      <c r="AZ19" s="363"/>
      <c r="BA19" s="363"/>
      <c r="BB19" s="363"/>
      <c r="BC19" s="240"/>
      <c r="BD19" s="146">
        <f t="shared" si="1"/>
        <v>0</v>
      </c>
      <c r="BE19" s="356" t="str">
        <f>IF(AW19="","",HLOOKUP(AW19,AssociatedRef!$AP$1:$BZ$123,LOOKUP($CC$2,AssociatedRef!$AP$2:$AP$123,AssociatedRef!$AQ$2:$AQ$123),FALSE))</f>
        <v/>
      </c>
      <c r="BF19" s="356"/>
      <c r="BG19" s="161" t="s">
        <v>361</v>
      </c>
      <c r="BH19" s="149" t="str">
        <f t="shared" si="2"/>
        <v/>
      </c>
      <c r="BI19" s="376"/>
      <c r="BJ19" s="377"/>
      <c r="BK19" s="377"/>
      <c r="BL19" s="377"/>
      <c r="BM19" s="377"/>
      <c r="BN19" s="377"/>
      <c r="BO19" s="377"/>
      <c r="BP19" s="377"/>
      <c r="BQ19" s="377"/>
      <c r="BR19" s="377"/>
      <c r="BS19" s="377"/>
      <c r="BT19" s="418"/>
      <c r="BU19" s="2" t="s">
        <v>41</v>
      </c>
      <c r="BV19" s="171">
        <f>SUM(DotTracking!$T15:$X15,DotTracking!$AR15:$AV15,DotTracking!$BP15:$BT15)</f>
        <v>0</v>
      </c>
      <c r="BW19" s="2" t="s">
        <v>44</v>
      </c>
      <c r="BX19" s="171">
        <f>SUM(DotTracking!$T18:$X18,DotTracking!$AR18:$AV18,DotTracking!$BP18:$BT18)</f>
        <v>0</v>
      </c>
      <c r="BY19" s="28">
        <f t="shared" si="4"/>
        <v>0</v>
      </c>
      <c r="CB19" s="2"/>
      <c r="CC19" s="2"/>
    </row>
    <row r="20" spans="1:81" x14ac:dyDescent="0.25">
      <c r="A20" s="393" t="s">
        <v>13</v>
      </c>
      <c r="B20" s="389"/>
      <c r="C20" s="389"/>
      <c r="D20" s="389"/>
      <c r="E20" s="356">
        <f>SUM(DotTracking!E7:O7,DotTracking!AC7:AM7,DotTracking!BA7:BK7)</f>
        <v>1</v>
      </c>
      <c r="F20" s="356"/>
      <c r="G20" s="363"/>
      <c r="H20" s="363"/>
      <c r="I20" s="363"/>
      <c r="J20" s="363"/>
      <c r="K20" s="363"/>
      <c r="L20" s="369"/>
      <c r="M20" s="393" t="s">
        <v>23</v>
      </c>
      <c r="N20" s="389"/>
      <c r="O20" s="389"/>
      <c r="P20" s="389"/>
      <c r="Q20" s="356" t="str">
        <f>Creation!Q29</f>
        <v>Select God</v>
      </c>
      <c r="R20" s="356"/>
      <c r="S20" s="356"/>
      <c r="T20" s="356"/>
      <c r="U20" s="356">
        <f>LOOKUP(Q20,BU12:BU23,BV12:BV23)</f>
        <v>0</v>
      </c>
      <c r="V20" s="356"/>
      <c r="W20" s="356"/>
      <c r="X20" s="401"/>
      <c r="Y20" s="393" t="s">
        <v>51</v>
      </c>
      <c r="Z20" s="389"/>
      <c r="AA20" s="389"/>
      <c r="AB20" s="389"/>
      <c r="AC20" s="356">
        <f>SUM(DotTracking!T25:X25,DotTracking!AR25:AV25,DotTracking!BP25:BT25,DotTracking!ES23:EW23,DotTracking!FB23:FF23,DotTracking!FK23:FO23,DotTracking!FT23:FX23,DotTracking!GC23:GG23)</f>
        <v>0</v>
      </c>
      <c r="AD20" s="356"/>
      <c r="AE20" s="356"/>
      <c r="AF20" s="363"/>
      <c r="AG20" s="363"/>
      <c r="AH20" s="356">
        <f t="shared" si="0"/>
        <v>0</v>
      </c>
      <c r="AI20" s="356"/>
      <c r="AJ20" s="712"/>
      <c r="AK20" s="712"/>
      <c r="AL20" s="712"/>
      <c r="AM20" s="713"/>
      <c r="AN20" s="362"/>
      <c r="AO20" s="363"/>
      <c r="AP20" s="363"/>
      <c r="AQ20" s="363"/>
      <c r="AR20" s="363"/>
      <c r="AS20" s="363"/>
      <c r="AT20" s="356" t="str">
        <f t="shared" si="5"/>
        <v/>
      </c>
      <c r="AU20" s="356"/>
      <c r="AV20" s="401"/>
      <c r="AW20" s="362"/>
      <c r="AX20" s="363"/>
      <c r="AY20" s="363"/>
      <c r="AZ20" s="363"/>
      <c r="BA20" s="363"/>
      <c r="BB20" s="363"/>
      <c r="BC20" s="240"/>
      <c r="BD20" s="146">
        <f t="shared" si="1"/>
        <v>0</v>
      </c>
      <c r="BE20" s="356" t="str">
        <f>IF(AW20="","",HLOOKUP(AW20,AssociatedRef!$AP$1:$BZ$123,LOOKUP($CC$2,AssociatedRef!$AP$2:$AP$123,AssociatedRef!$AQ$2:$AQ$123),FALSE))</f>
        <v/>
      </c>
      <c r="BF20" s="356"/>
      <c r="BG20" s="161" t="s">
        <v>361</v>
      </c>
      <c r="BH20" s="149" t="str">
        <f t="shared" si="2"/>
        <v/>
      </c>
      <c r="BI20" s="392" t="s">
        <v>75</v>
      </c>
      <c r="BJ20" s="391"/>
      <c r="BK20" s="391"/>
      <c r="BL20" s="391"/>
      <c r="BM20" s="144" t="s">
        <v>76</v>
      </c>
      <c r="BN20" s="391" t="s">
        <v>11</v>
      </c>
      <c r="BO20" s="391"/>
      <c r="BP20" s="391" t="s">
        <v>77</v>
      </c>
      <c r="BQ20" s="391"/>
      <c r="BR20" s="391"/>
      <c r="BS20" s="391"/>
      <c r="BT20" s="409"/>
      <c r="BU20" s="2" t="s">
        <v>42</v>
      </c>
      <c r="BV20" s="171">
        <f>SUM(DotTracking!$T16:$X16,DotTracking!$AR16:$AV16,DotTracking!$BP16:$BT16)</f>
        <v>0</v>
      </c>
      <c r="BW20" s="2" t="s">
        <v>45</v>
      </c>
      <c r="BX20" s="171">
        <f>SUM(DotTracking!$T19:$X19,DotTracking!$AR19:$AV19,DotTracking!$BP19:$BT19)</f>
        <v>0</v>
      </c>
      <c r="BY20" s="28">
        <f t="shared" si="4"/>
        <v>0</v>
      </c>
      <c r="CB20" s="2"/>
      <c r="CC20" s="2"/>
    </row>
    <row r="21" spans="1:81" x14ac:dyDescent="0.25">
      <c r="A21" s="393" t="s">
        <v>14</v>
      </c>
      <c r="B21" s="389"/>
      <c r="C21" s="389"/>
      <c r="D21" s="389"/>
      <c r="E21" s="356">
        <f>SUM(DotTracking!E8:O8,DotTracking!AC8:AM8,DotTracking!BA8:BK8)</f>
        <v>1</v>
      </c>
      <c r="F21" s="356"/>
      <c r="G21" s="363"/>
      <c r="H21" s="363"/>
      <c r="I21" s="363"/>
      <c r="J21" s="363"/>
      <c r="K21" s="363"/>
      <c r="L21" s="369"/>
      <c r="M21" s="393" t="s">
        <v>24</v>
      </c>
      <c r="N21" s="389"/>
      <c r="O21" s="389"/>
      <c r="P21" s="389"/>
      <c r="Q21" s="356" t="str">
        <f>Creation!Q30</f>
        <v>Select God</v>
      </c>
      <c r="R21" s="356"/>
      <c r="S21" s="356"/>
      <c r="T21" s="356"/>
      <c r="U21" s="356">
        <f>LOOKUP(Q21,BU25:BU37,BV25:BV37)</f>
        <v>0</v>
      </c>
      <c r="V21" s="356"/>
      <c r="W21" s="356"/>
      <c r="X21" s="401"/>
      <c r="Y21" s="393" t="s">
        <v>52</v>
      </c>
      <c r="Z21" s="389"/>
      <c r="AA21" s="389"/>
      <c r="AB21" s="389"/>
      <c r="AC21" s="356">
        <f>SUM(DotTracking!T26:X26,DotTracking!AR26:AV26,DotTracking!BP26:BT26,DotTracking!ES24:EW24,DotTracking!FB24:FF24,DotTracking!FK24:FO24,DotTracking!FT24:FX24,DotTracking!GC24:GG24)</f>
        <v>0</v>
      </c>
      <c r="AD21" s="356"/>
      <c r="AE21" s="356"/>
      <c r="AF21" s="363"/>
      <c r="AG21" s="363"/>
      <c r="AH21" s="356">
        <f t="shared" si="0"/>
        <v>0</v>
      </c>
      <c r="AI21" s="356"/>
      <c r="AJ21" s="712"/>
      <c r="AK21" s="712"/>
      <c r="AL21" s="712"/>
      <c r="AM21" s="713"/>
      <c r="AN21" s="362"/>
      <c r="AO21" s="363"/>
      <c r="AP21" s="363"/>
      <c r="AQ21" s="363"/>
      <c r="AR21" s="363"/>
      <c r="AS21" s="363"/>
      <c r="AT21" s="356" t="str">
        <f t="shared" si="5"/>
        <v/>
      </c>
      <c r="AU21" s="356"/>
      <c r="AV21" s="401"/>
      <c r="AW21" s="362"/>
      <c r="AX21" s="363"/>
      <c r="AY21" s="363"/>
      <c r="AZ21" s="363"/>
      <c r="BA21" s="363"/>
      <c r="BB21" s="363"/>
      <c r="BC21" s="240"/>
      <c r="BD21" s="146">
        <f t="shared" si="1"/>
        <v>0</v>
      </c>
      <c r="BE21" s="356" t="str">
        <f>IF(AW21="","",HLOOKUP(AW21,AssociatedRef!$AP$1:$BZ$123,LOOKUP($CC$2,AssociatedRef!$AP$2:$AP$123,AssociatedRef!$AQ$2:$AQ$123),FALSE))</f>
        <v/>
      </c>
      <c r="BF21" s="356"/>
      <c r="BG21" s="161" t="s">
        <v>361</v>
      </c>
      <c r="BH21" s="149" t="str">
        <f t="shared" si="2"/>
        <v/>
      </c>
      <c r="BI21" s="362"/>
      <c r="BJ21" s="363"/>
      <c r="BK21" s="363"/>
      <c r="BL21" s="363"/>
      <c r="BM21" s="240"/>
      <c r="BN21" s="240"/>
      <c r="BO21" s="240"/>
      <c r="BP21" s="363"/>
      <c r="BQ21" s="363"/>
      <c r="BR21" s="363"/>
      <c r="BS21" s="363"/>
      <c r="BT21" s="369"/>
      <c r="BU21" s="2" t="s">
        <v>43</v>
      </c>
      <c r="BV21" s="171">
        <f>SUM(DotTracking!$T17:$X17,DotTracking!$AR17:$AV17,DotTracking!$BP17:$BT17)</f>
        <v>0</v>
      </c>
      <c r="BW21" s="2" t="s">
        <v>46</v>
      </c>
      <c r="BX21" s="171">
        <f>SUM(DotTracking!$T20:$X20,DotTracking!$AR20:$AV20,DotTracking!$BP20:$BT20)</f>
        <v>0</v>
      </c>
      <c r="BY21" s="28">
        <f t="shared" si="4"/>
        <v>0</v>
      </c>
      <c r="CB21" s="2"/>
      <c r="CC21" s="2"/>
    </row>
    <row r="22" spans="1:81" x14ac:dyDescent="0.25">
      <c r="A22" s="393" t="s">
        <v>15</v>
      </c>
      <c r="B22" s="389"/>
      <c r="C22" s="389"/>
      <c r="D22" s="389"/>
      <c r="E22" s="726" t="s">
        <v>59</v>
      </c>
      <c r="F22" s="726"/>
      <c r="G22" s="726"/>
      <c r="H22" s="726"/>
      <c r="I22" s="356"/>
      <c r="J22" s="356"/>
      <c r="K22" s="356"/>
      <c r="L22" s="401"/>
      <c r="M22" s="393" t="s">
        <v>25</v>
      </c>
      <c r="N22" s="389"/>
      <c r="O22" s="389"/>
      <c r="P22" s="389"/>
      <c r="Q22" s="356" t="str">
        <f>Creation!Q31</f>
        <v>Select God</v>
      </c>
      <c r="R22" s="356"/>
      <c r="S22" s="356"/>
      <c r="T22" s="356"/>
      <c r="U22" s="356">
        <f>LOOKUP(Q22,BW2:BW15,BX2:BX15)</f>
        <v>0</v>
      </c>
      <c r="V22" s="356"/>
      <c r="W22" s="356"/>
      <c r="X22" s="401"/>
      <c r="Y22" s="393" t="s">
        <v>53</v>
      </c>
      <c r="Z22" s="389"/>
      <c r="AA22" s="389"/>
      <c r="AB22" s="389"/>
      <c r="AC22" s="356">
        <f>SUM(DotTracking!T27:X27,DotTracking!AR27:AV27,DotTracking!BP27:BT27,DotTracking!ES25:EW25,DotTracking!FB25:FF25,DotTracking!FK25:FO25,DotTracking!FT25:FX25,DotTracking!GC25:GG25)</f>
        <v>0</v>
      </c>
      <c r="AD22" s="356"/>
      <c r="AE22" s="356"/>
      <c r="AF22" s="363"/>
      <c r="AG22" s="363"/>
      <c r="AH22" s="356">
        <f t="shared" si="0"/>
        <v>0</v>
      </c>
      <c r="AI22" s="356"/>
      <c r="AJ22" s="712"/>
      <c r="AK22" s="712"/>
      <c r="AL22" s="712"/>
      <c r="AM22" s="713"/>
      <c r="AN22" s="362"/>
      <c r="AO22" s="363"/>
      <c r="AP22" s="363"/>
      <c r="AQ22" s="363"/>
      <c r="AR22" s="363"/>
      <c r="AS22" s="363"/>
      <c r="AT22" s="356" t="str">
        <f t="shared" si="5"/>
        <v/>
      </c>
      <c r="AU22" s="356"/>
      <c r="AV22" s="401"/>
      <c r="AW22" s="362"/>
      <c r="AX22" s="363"/>
      <c r="AY22" s="363"/>
      <c r="AZ22" s="363"/>
      <c r="BA22" s="363"/>
      <c r="BB22" s="363"/>
      <c r="BC22" s="240"/>
      <c r="BD22" s="146">
        <f t="shared" si="1"/>
        <v>0</v>
      </c>
      <c r="BE22" s="356" t="str">
        <f>IF(AW22="","",HLOOKUP(AW22,AssociatedRef!$AP$1:$BZ$123,LOOKUP($CC$2,AssociatedRef!$AP$2:$AP$123,AssociatedRef!$AQ$2:$AQ$123),FALSE))</f>
        <v/>
      </c>
      <c r="BF22" s="356"/>
      <c r="BG22" s="161" t="s">
        <v>361</v>
      </c>
      <c r="BH22" s="149" t="str">
        <f t="shared" si="2"/>
        <v/>
      </c>
      <c r="BI22" s="362"/>
      <c r="BJ22" s="363"/>
      <c r="BK22" s="363"/>
      <c r="BL22" s="363"/>
      <c r="BM22" s="240"/>
      <c r="BN22" s="240"/>
      <c r="BO22" s="240"/>
      <c r="BP22" s="363"/>
      <c r="BQ22" s="363"/>
      <c r="BR22" s="363"/>
      <c r="BS22" s="363"/>
      <c r="BT22" s="369"/>
      <c r="BU22" s="2" t="s">
        <v>44</v>
      </c>
      <c r="BV22" s="171">
        <f>SUM(DotTracking!$T18:$X18,DotTracking!$AR18:$AV18,DotTracking!$BP18:$BT18)</f>
        <v>0</v>
      </c>
      <c r="BW22" s="2" t="s">
        <v>47</v>
      </c>
      <c r="BX22" s="171">
        <f>SUM(DotTracking!$T21:$X21,DotTracking!$AR21:$AV21,DotTracking!$BP21:$BT21)</f>
        <v>0</v>
      </c>
      <c r="BY22" s="28">
        <f t="shared" si="4"/>
        <v>0</v>
      </c>
      <c r="CB22" s="2"/>
      <c r="CC22" s="2"/>
    </row>
    <row r="23" spans="1:81" x14ac:dyDescent="0.25">
      <c r="A23" s="393" t="s">
        <v>32</v>
      </c>
      <c r="B23" s="389"/>
      <c r="C23" s="389"/>
      <c r="D23" s="389"/>
      <c r="E23" s="356" t="str">
        <f>IF(E22="primary",4-SUM(G19:H21),IF(E22="Secondary",3-SUM(G19:H21),IF(E22="Tertiary",2-SUM(G19:H21),"Select Priority")))</f>
        <v>Select Priority</v>
      </c>
      <c r="F23" s="356"/>
      <c r="G23" s="356"/>
      <c r="H23" s="356"/>
      <c r="I23" s="356"/>
      <c r="J23" s="356"/>
      <c r="K23" s="356"/>
      <c r="L23" s="401"/>
      <c r="M23" s="393" t="s">
        <v>26</v>
      </c>
      <c r="N23" s="389"/>
      <c r="O23" s="389"/>
      <c r="P23" s="389"/>
      <c r="Q23" s="356" t="str">
        <f>Creation!Q32</f>
        <v>Select God</v>
      </c>
      <c r="R23" s="356"/>
      <c r="S23" s="356"/>
      <c r="T23" s="356"/>
      <c r="U23" s="356">
        <f>LOOKUP(Q23,BW17:BW28,BX17:BX28)</f>
        <v>0</v>
      </c>
      <c r="V23" s="356"/>
      <c r="W23" s="356"/>
      <c r="X23" s="401"/>
      <c r="Y23" s="393" t="s">
        <v>54</v>
      </c>
      <c r="Z23" s="389"/>
      <c r="AA23" s="389"/>
      <c r="AB23" s="389"/>
      <c r="AC23" s="356">
        <f>SUM(DotTracking!T28:X28,DotTracking!AR28:AV28,DotTracking!BP28:BT28,DotTracking!ES26:EW26,DotTracking!FB26:FF26,DotTracking!FK26:FO26,DotTracking!FT26:FX26,DotTracking!GC26:GG26)</f>
        <v>0</v>
      </c>
      <c r="AD23" s="356"/>
      <c r="AE23" s="356"/>
      <c r="AF23" s="363"/>
      <c r="AG23" s="363"/>
      <c r="AH23" s="356">
        <f t="shared" si="0"/>
        <v>0</v>
      </c>
      <c r="AI23" s="356"/>
      <c r="AJ23" s="712"/>
      <c r="AK23" s="712"/>
      <c r="AL23" s="712"/>
      <c r="AM23" s="713"/>
      <c r="AN23" s="362"/>
      <c r="AO23" s="363"/>
      <c r="AP23" s="363"/>
      <c r="AQ23" s="363"/>
      <c r="AR23" s="363"/>
      <c r="AS23" s="363"/>
      <c r="AT23" s="356" t="str">
        <f t="shared" si="5"/>
        <v/>
      </c>
      <c r="AU23" s="356"/>
      <c r="AV23" s="401"/>
      <c r="AW23" s="362"/>
      <c r="AX23" s="363"/>
      <c r="AY23" s="363"/>
      <c r="AZ23" s="363"/>
      <c r="BA23" s="363"/>
      <c r="BB23" s="363"/>
      <c r="BC23" s="240"/>
      <c r="BD23" s="146">
        <f t="shared" si="1"/>
        <v>0</v>
      </c>
      <c r="BE23" s="356" t="str">
        <f>IF(AW23="","",HLOOKUP(AW23,AssociatedRef!$AP$1:$BZ$123,LOOKUP($CC$2,AssociatedRef!$AP$2:$AP$123,AssociatedRef!$AQ$2:$AQ$123),FALSE))</f>
        <v/>
      </c>
      <c r="BF23" s="356"/>
      <c r="BG23" s="161" t="s">
        <v>361</v>
      </c>
      <c r="BH23" s="149" t="str">
        <f t="shared" si="2"/>
        <v/>
      </c>
      <c r="BI23" s="362"/>
      <c r="BJ23" s="363"/>
      <c r="BK23" s="363"/>
      <c r="BL23" s="363"/>
      <c r="BM23" s="240"/>
      <c r="BN23" s="240"/>
      <c r="BO23" s="240"/>
      <c r="BP23" s="363"/>
      <c r="BQ23" s="363"/>
      <c r="BR23" s="363"/>
      <c r="BS23" s="363"/>
      <c r="BT23" s="369"/>
      <c r="BU23" s="2" t="s">
        <v>45</v>
      </c>
      <c r="BV23" s="171">
        <f>SUM(DotTracking!$T19:$X19,DotTracking!$AR19:$AV19,DotTracking!$BP19:$BT19)</f>
        <v>0</v>
      </c>
      <c r="BW23" s="2" t="s">
        <v>48</v>
      </c>
      <c r="BX23" s="171">
        <f>SUM(DotTracking!$T22:$X22,DotTracking!$AR22:$AV22,DotTracking!$BP22:$BT22)</f>
        <v>0</v>
      </c>
      <c r="BY23" s="28">
        <f t="shared" si="4"/>
        <v>0</v>
      </c>
      <c r="CB23" s="2"/>
      <c r="CC23" s="2"/>
    </row>
    <row r="24" spans="1:81" ht="15.75" thickBot="1" x14ac:dyDescent="0.3">
      <c r="A24" s="677"/>
      <c r="B24" s="356"/>
      <c r="C24" s="356"/>
      <c r="D24" s="356"/>
      <c r="E24" s="356"/>
      <c r="F24" s="356"/>
      <c r="G24" s="356"/>
      <c r="H24" s="356"/>
      <c r="I24" s="356"/>
      <c r="J24" s="356"/>
      <c r="K24" s="356"/>
      <c r="L24" s="401"/>
      <c r="M24" s="396" t="s">
        <v>27</v>
      </c>
      <c r="N24" s="395"/>
      <c r="O24" s="395"/>
      <c r="P24" s="395"/>
      <c r="Q24" s="434" t="str">
        <f>Creation!Q33</f>
        <v>Select God</v>
      </c>
      <c r="R24" s="434"/>
      <c r="S24" s="434"/>
      <c r="T24" s="434"/>
      <c r="U24" s="434">
        <f>LOOKUP(Q24,BW30:BW38,BX30:BX38)</f>
        <v>0</v>
      </c>
      <c r="V24" s="434"/>
      <c r="W24" s="434"/>
      <c r="X24" s="474"/>
      <c r="Y24" s="722" t="s">
        <v>536</v>
      </c>
      <c r="Z24" s="723"/>
      <c r="AA24" s="723"/>
      <c r="AB24" s="723"/>
      <c r="AC24" s="356">
        <f>SUM(DotTracking!T29:X29,DotTracking!AR29:AV29,DotTracking!BP29:BT29,DotTracking!ES27:EW27,DotTracking!FB27:FF27,DotTracking!FK27:FO27,DotTracking!FT27:FX27,DotTracking!GC27:GG27)</f>
        <v>0</v>
      </c>
      <c r="AD24" s="356"/>
      <c r="AE24" s="356"/>
      <c r="AF24" s="363"/>
      <c r="AG24" s="363"/>
      <c r="AH24" s="356">
        <f t="shared" si="0"/>
        <v>0</v>
      </c>
      <c r="AI24" s="356"/>
      <c r="AJ24" s="363"/>
      <c r="AK24" s="363"/>
      <c r="AL24" s="363"/>
      <c r="AM24" s="369"/>
      <c r="AN24" s="362"/>
      <c r="AO24" s="363"/>
      <c r="AP24" s="363"/>
      <c r="AQ24" s="363"/>
      <c r="AR24" s="363"/>
      <c r="AS24" s="363"/>
      <c r="AT24" s="356" t="str">
        <f t="shared" si="5"/>
        <v/>
      </c>
      <c r="AU24" s="356"/>
      <c r="AV24" s="401"/>
      <c r="AW24" s="362"/>
      <c r="AX24" s="363"/>
      <c r="AY24" s="363"/>
      <c r="AZ24" s="363"/>
      <c r="BA24" s="363"/>
      <c r="BB24" s="363"/>
      <c r="BC24" s="240"/>
      <c r="BD24" s="146">
        <f t="shared" si="1"/>
        <v>0</v>
      </c>
      <c r="BE24" s="356" t="str">
        <f>IF(AW24="","",HLOOKUP(AW24,AssociatedRef!$AP$1:$BZ$123,LOOKUP($CC$2,AssociatedRef!$AP$2:$AP$123,AssociatedRef!$AQ$2:$AQ$123),FALSE))</f>
        <v/>
      </c>
      <c r="BF24" s="356"/>
      <c r="BG24" s="161" t="s">
        <v>361</v>
      </c>
      <c r="BH24" s="149" t="str">
        <f t="shared" si="2"/>
        <v/>
      </c>
      <c r="BI24" s="362"/>
      <c r="BJ24" s="363"/>
      <c r="BK24" s="363"/>
      <c r="BL24" s="363"/>
      <c r="BM24" s="240"/>
      <c r="BN24" s="240"/>
      <c r="BO24" s="240"/>
      <c r="BP24" s="363"/>
      <c r="BQ24" s="363"/>
      <c r="BR24" s="363"/>
      <c r="BS24" s="363"/>
      <c r="BT24" s="369"/>
      <c r="BU24" s="1" t="s">
        <v>933</v>
      </c>
      <c r="BW24" s="2" t="s">
        <v>49</v>
      </c>
      <c r="BX24" s="171">
        <f>SUM(DotTracking!$T23:$X23,DotTracking!$AR23:$AV23,DotTracking!$BP23:$BT23)</f>
        <v>0</v>
      </c>
      <c r="BY24" s="28">
        <f t="shared" si="4"/>
        <v>0</v>
      </c>
      <c r="CA24" s="2"/>
      <c r="CB24" s="2"/>
    </row>
    <row r="25" spans="1:81" x14ac:dyDescent="0.25">
      <c r="A25" s="393" t="s">
        <v>16</v>
      </c>
      <c r="B25" s="389"/>
      <c r="C25" s="389"/>
      <c r="D25" s="389"/>
      <c r="E25" s="356">
        <f>SUM(DotTracking!E9:O9,DotTracking!AC9:AM9,DotTracking!BA9:BK9)</f>
        <v>1</v>
      </c>
      <c r="F25" s="356"/>
      <c r="G25" s="363"/>
      <c r="H25" s="363"/>
      <c r="I25" s="363"/>
      <c r="J25" s="363"/>
      <c r="K25" s="363"/>
      <c r="L25" s="369"/>
      <c r="M25" s="657"/>
      <c r="N25" s="657"/>
      <c r="O25" s="657"/>
      <c r="P25" s="657"/>
      <c r="Q25" s="657"/>
      <c r="R25" s="657"/>
      <c r="S25" s="657"/>
      <c r="T25" s="657"/>
      <c r="U25" s="657"/>
      <c r="V25" s="657"/>
      <c r="W25" s="657"/>
      <c r="X25" s="657"/>
      <c r="Y25" s="722" t="s">
        <v>536</v>
      </c>
      <c r="Z25" s="723"/>
      <c r="AA25" s="723"/>
      <c r="AB25" s="723"/>
      <c r="AC25" s="356">
        <f>SUM(DotTracking!T30:X30,DotTracking!AR30:AV30,DotTracking!BP30:BT30,DotTracking!ES28:EW28,DotTracking!FB28:FF28,DotTracking!FK28:FO28,DotTracking!FT28:FX28,DotTracking!GC28:GG28)</f>
        <v>0</v>
      </c>
      <c r="AD25" s="356"/>
      <c r="AE25" s="356"/>
      <c r="AF25" s="363"/>
      <c r="AG25" s="363"/>
      <c r="AH25" s="356">
        <f t="shared" si="0"/>
        <v>0</v>
      </c>
      <c r="AI25" s="356"/>
      <c r="AJ25" s="363"/>
      <c r="AK25" s="363"/>
      <c r="AL25" s="363"/>
      <c r="AM25" s="369"/>
      <c r="AN25" s="362"/>
      <c r="AO25" s="363"/>
      <c r="AP25" s="363"/>
      <c r="AQ25" s="363"/>
      <c r="AR25" s="363"/>
      <c r="AS25" s="363"/>
      <c r="AT25" s="356" t="str">
        <f t="shared" si="5"/>
        <v/>
      </c>
      <c r="AU25" s="356"/>
      <c r="AV25" s="401"/>
      <c r="AW25" s="362"/>
      <c r="AX25" s="363"/>
      <c r="AY25" s="363"/>
      <c r="AZ25" s="363"/>
      <c r="BA25" s="363"/>
      <c r="BB25" s="363"/>
      <c r="BC25" s="240"/>
      <c r="BD25" s="146">
        <f t="shared" si="1"/>
        <v>0</v>
      </c>
      <c r="BE25" s="356" t="str">
        <f>IF(AW25="","",HLOOKUP(AW25,AssociatedRef!$AP$1:$BZ$123,LOOKUP($CC$2,AssociatedRef!$AP$2:$AP$123,AssociatedRef!$AQ$2:$AQ$123),FALSE))</f>
        <v/>
      </c>
      <c r="BF25" s="356"/>
      <c r="BG25" s="161" t="s">
        <v>361</v>
      </c>
      <c r="BH25" s="149" t="str">
        <f t="shared" si="2"/>
        <v/>
      </c>
      <c r="BI25" s="362"/>
      <c r="BJ25" s="363"/>
      <c r="BK25" s="363"/>
      <c r="BL25" s="363"/>
      <c r="BM25" s="240"/>
      <c r="BN25" s="240"/>
      <c r="BO25" s="240"/>
      <c r="BP25" s="363"/>
      <c r="BQ25" s="363"/>
      <c r="BR25" s="363"/>
      <c r="BS25" s="363"/>
      <c r="BT25" s="369"/>
      <c r="BU25" s="2" t="s">
        <v>38</v>
      </c>
      <c r="BV25" s="171">
        <f>SUM(DotTracking!$T12:$X12,DotTracking!$AR12:$AV13,DotTracking!$BP12:$BT12)</f>
        <v>0</v>
      </c>
      <c r="BW25" s="2" t="s">
        <v>50</v>
      </c>
      <c r="BX25" s="171">
        <f>SUM(DotTracking!$T24:$X24,DotTracking!$AR24:$AV24,DotTracking!$BP24:$BT24)</f>
        <v>0</v>
      </c>
      <c r="BY25" s="28">
        <f t="shared" si="4"/>
        <v>0</v>
      </c>
      <c r="CA25" s="2"/>
      <c r="CB25" s="2"/>
    </row>
    <row r="26" spans="1:81" ht="15.75" thickBot="1" x14ac:dyDescent="0.3">
      <c r="A26" s="393" t="s">
        <v>17</v>
      </c>
      <c r="B26" s="389"/>
      <c r="C26" s="389"/>
      <c r="D26" s="389"/>
      <c r="E26" s="356">
        <f>SUM(DotTracking!E10:O10,DotTracking!AC10:AM10,DotTracking!BA10:BK10)</f>
        <v>1</v>
      </c>
      <c r="F26" s="356"/>
      <c r="G26" s="363"/>
      <c r="H26" s="363"/>
      <c r="I26" s="363"/>
      <c r="J26" s="363"/>
      <c r="K26" s="363"/>
      <c r="L26" s="369"/>
      <c r="M26" s="657"/>
      <c r="N26" s="657"/>
      <c r="O26" s="657"/>
      <c r="P26" s="657"/>
      <c r="Q26" s="657"/>
      <c r="R26" s="657"/>
      <c r="S26" s="657"/>
      <c r="T26" s="657"/>
      <c r="U26" s="657"/>
      <c r="V26" s="657"/>
      <c r="W26" s="657"/>
      <c r="X26" s="657"/>
      <c r="Y26" s="722" t="s">
        <v>536</v>
      </c>
      <c r="Z26" s="723"/>
      <c r="AA26" s="723"/>
      <c r="AB26" s="723"/>
      <c r="AC26" s="356">
        <f>SUM(DotTracking!T31:X31,DotTracking!AR31:AV31,DotTracking!BP31:BT31,DotTracking!ES29:EW29,DotTracking!FB29:FF29,DotTracking!FK29:FO29,DotTracking!FT29:FX29,DotTracking!GC29:GG29)</f>
        <v>0</v>
      </c>
      <c r="AD26" s="356"/>
      <c r="AE26" s="356"/>
      <c r="AF26" s="363"/>
      <c r="AG26" s="363"/>
      <c r="AH26" s="356">
        <f t="shared" si="0"/>
        <v>0</v>
      </c>
      <c r="AI26" s="356"/>
      <c r="AJ26" s="363"/>
      <c r="AK26" s="363"/>
      <c r="AL26" s="363"/>
      <c r="AM26" s="369"/>
      <c r="AN26" s="362"/>
      <c r="AO26" s="363"/>
      <c r="AP26" s="363"/>
      <c r="AQ26" s="363"/>
      <c r="AR26" s="363"/>
      <c r="AS26" s="363"/>
      <c r="AT26" s="356" t="str">
        <f t="shared" si="5"/>
        <v/>
      </c>
      <c r="AU26" s="356"/>
      <c r="AV26" s="401"/>
      <c r="AW26" s="362"/>
      <c r="AX26" s="363"/>
      <c r="AY26" s="363"/>
      <c r="AZ26" s="363"/>
      <c r="BA26" s="363"/>
      <c r="BB26" s="363"/>
      <c r="BC26" s="240"/>
      <c r="BD26" s="146">
        <f t="shared" si="1"/>
        <v>0</v>
      </c>
      <c r="BE26" s="356" t="str">
        <f>IF(AW26="","",HLOOKUP(AW26,AssociatedRef!$AP$1:$BZ$123,LOOKUP($CC$2,AssociatedRef!$AP$2:$AP$123,AssociatedRef!$AQ$2:$AQ$123),FALSE))</f>
        <v/>
      </c>
      <c r="BF26" s="356"/>
      <c r="BG26" s="161" t="s">
        <v>361</v>
      </c>
      <c r="BH26" s="149" t="str">
        <f t="shared" si="2"/>
        <v/>
      </c>
      <c r="BI26" s="362"/>
      <c r="BJ26" s="363"/>
      <c r="BK26" s="363"/>
      <c r="BL26" s="363"/>
      <c r="BM26" s="240"/>
      <c r="BN26" s="240"/>
      <c r="BO26" s="240"/>
      <c r="BP26" s="363"/>
      <c r="BQ26" s="363"/>
      <c r="BR26" s="363"/>
      <c r="BS26" s="363"/>
      <c r="BT26" s="369"/>
      <c r="BU26" s="2" t="s">
        <v>39</v>
      </c>
      <c r="BV26" s="171">
        <f>SUM(DotTracking!$T13:$X13,DotTracking!$AR13:$AV14,DotTracking!$BP13:$BT13)</f>
        <v>0</v>
      </c>
      <c r="BW26" s="2" t="s">
        <v>51</v>
      </c>
      <c r="BX26" s="171">
        <f>SUM(DotTracking!$T25:$X25,DotTracking!$AR25:$AV25,DotTracking!$BP25:$BT25)</f>
        <v>0</v>
      </c>
      <c r="BY26" s="28">
        <f t="shared" si="4"/>
        <v>0</v>
      </c>
      <c r="CA26" s="2"/>
      <c r="CB26" s="2"/>
    </row>
    <row r="27" spans="1:81" x14ac:dyDescent="0.25">
      <c r="A27" s="393" t="s">
        <v>18</v>
      </c>
      <c r="B27" s="389"/>
      <c r="C27" s="389"/>
      <c r="D27" s="389"/>
      <c r="E27" s="356">
        <f>SUM(DotTracking!E11:O11,DotTracking!AC11:AM11,DotTracking!BA11:BK11)</f>
        <v>1</v>
      </c>
      <c r="F27" s="356"/>
      <c r="G27" s="363"/>
      <c r="H27" s="363"/>
      <c r="I27" s="363"/>
      <c r="J27" s="363"/>
      <c r="K27" s="363"/>
      <c r="L27" s="369"/>
      <c r="M27" s="373" t="s">
        <v>31</v>
      </c>
      <c r="N27" s="374"/>
      <c r="O27" s="374"/>
      <c r="P27" s="374"/>
      <c r="Q27" s="374"/>
      <c r="R27" s="374"/>
      <c r="S27" s="374"/>
      <c r="T27" s="375"/>
      <c r="U27" s="373" t="s">
        <v>958</v>
      </c>
      <c r="V27" s="374"/>
      <c r="W27" s="374"/>
      <c r="X27" s="375"/>
      <c r="Y27" s="722" t="s">
        <v>536</v>
      </c>
      <c r="Z27" s="723"/>
      <c r="AA27" s="723"/>
      <c r="AB27" s="723"/>
      <c r="AC27" s="356">
        <f>SUM(DotTracking!T32:X32,DotTracking!AR32:AV32,DotTracking!BP32:BT32,DotTracking!ES30:EW30,DotTracking!FB30:FF30,DotTracking!FK30:FO30,DotTracking!FT30:FX30,DotTracking!GC30:GG30)</f>
        <v>0</v>
      </c>
      <c r="AD27" s="356"/>
      <c r="AE27" s="356"/>
      <c r="AF27" s="363"/>
      <c r="AG27" s="363"/>
      <c r="AH27" s="356">
        <f t="shared" si="0"/>
        <v>0</v>
      </c>
      <c r="AI27" s="356"/>
      <c r="AJ27" s="363"/>
      <c r="AK27" s="363"/>
      <c r="AL27" s="363"/>
      <c r="AM27" s="369"/>
      <c r="AN27" s="362"/>
      <c r="AO27" s="363"/>
      <c r="AP27" s="363"/>
      <c r="AQ27" s="363"/>
      <c r="AR27" s="363"/>
      <c r="AS27" s="363"/>
      <c r="AT27" s="356" t="str">
        <f t="shared" si="5"/>
        <v/>
      </c>
      <c r="AU27" s="356"/>
      <c r="AV27" s="401"/>
      <c r="AW27" s="362"/>
      <c r="AX27" s="363"/>
      <c r="AY27" s="363"/>
      <c r="AZ27" s="363"/>
      <c r="BA27" s="363"/>
      <c r="BB27" s="363"/>
      <c r="BC27" s="240"/>
      <c r="BD27" s="146">
        <f t="shared" si="1"/>
        <v>0</v>
      </c>
      <c r="BE27" s="356" t="str">
        <f>IF(AW27="","",HLOOKUP(AW27,AssociatedRef!$AP$1:$BZ$123,LOOKUP($CC$2,AssociatedRef!$AP$2:$AP$123,AssociatedRef!$AQ$2:$AQ$123),FALSE))</f>
        <v/>
      </c>
      <c r="BF27" s="356"/>
      <c r="BG27" s="161" t="s">
        <v>361</v>
      </c>
      <c r="BH27" s="149" t="str">
        <f t="shared" si="2"/>
        <v/>
      </c>
      <c r="BI27" s="362"/>
      <c r="BJ27" s="363"/>
      <c r="BK27" s="363"/>
      <c r="BL27" s="363"/>
      <c r="BM27" s="240"/>
      <c r="BN27" s="240"/>
      <c r="BO27" s="240"/>
      <c r="BP27" s="363"/>
      <c r="BQ27" s="363"/>
      <c r="BR27" s="363"/>
      <c r="BS27" s="363"/>
      <c r="BT27" s="369"/>
      <c r="BU27" s="2" t="s">
        <v>40</v>
      </c>
      <c r="BV27" s="171">
        <f>SUM(DotTracking!$T14:$X14,DotTracking!$AR14:$AV15,DotTracking!$BP14:$BT14)</f>
        <v>0</v>
      </c>
      <c r="BW27" s="2" t="s">
        <v>58</v>
      </c>
      <c r="BX27" s="171">
        <f>SUM(IF(DotTracking!P29="Science",DotTracking!T29:X29,0),IF(DotTracking!AN29="Science",DotTracking!AR29:AV29,0),IF(DotTracking!BL29="Science",DotTracking!BP29:BT29,0),IF(DotTracking!P30="Science",DotTracking!T30:X30,0),IF(DotTracking!AN30="Science",DotTracking!AR30:AV30,0),IF(DotTracking!BL30="Science",DotTracking!BP30:BT30,0),IF(DotTracking!P32="Science",DotTracking!T32:X32,0),IF(DotTracking!AN32="Science",DotTracking!AR32:AV32,0),IF(DotTracking!BL32="Science",DotTracking!BP32:BT32,0),IF(DotTracking!P31="Science",DotTracking!T31:X31,0),IF(DotTracking!AN31="Science",DotTracking!AR31:AV31,0),IF(DotTracking!BL31="Science",DotTracking!BP31:BT31,0),IF(DotTracking!P33="Science",DotTracking!T33:X33,0),IF(DotTracking!AN33="Science",DotTracking!AR33:AV33,0),IF(DotTracking!BL33="Science",DotTracking!BP33:BT33,0),IF(DotTracking!P34="Science",DotTracking!T34:X34,0),IF(DotTracking!AN34="Science",DotTracking!AR34:AV34,0),IF(DotTracking!BL34="Science",DotTracking!BP34:BT34,0),IF(DotTracking!P35="Science",DotTracking!T35:X35,0),IF(DotTracking!AN35="Science",DotTracking!AR35:AV35,0),IF(DotTracking!BL35="Science",DotTracking!BP35:BT35,0),IF(DotTracking!P36="Science",DotTracking!T36:X36,0),IF(DotTracking!AN36="Science",DotTracking!AR36:AV36,0),IF(DotTracking!BL36="Science",DotTracking!BP36:BT36,0),IF(DotTracking!P37="Science",DotTracking!T37:X37,0),IF(DotTracking!AN37="Science",DotTracking!AR37:AV37,0),IF(DotTracking!BL37="Science",DotTracking!BP37:BT37,0),IF(DotTracking!P38="Science",DotTracking!T38:X38,0),IF(DotTracking!AN38="Science",DotTracking!AR38:AV38,0),IF(DotTracking!BL38="Science",DotTracking!BP38:BT38,0),0)</f>
        <v>0</v>
      </c>
      <c r="BY27" s="28">
        <f t="shared" si="4"/>
        <v>0</v>
      </c>
      <c r="CA27" s="2"/>
      <c r="CB27" s="2"/>
    </row>
    <row r="28" spans="1:81" ht="15.75" thickBot="1" x14ac:dyDescent="0.3">
      <c r="A28" s="393" t="s">
        <v>15</v>
      </c>
      <c r="B28" s="389"/>
      <c r="C28" s="389"/>
      <c r="D28" s="389"/>
      <c r="E28" s="726" t="s">
        <v>59</v>
      </c>
      <c r="F28" s="726"/>
      <c r="G28" s="726"/>
      <c r="H28" s="726"/>
      <c r="I28" s="356"/>
      <c r="J28" s="356"/>
      <c r="K28" s="356"/>
      <c r="L28" s="401"/>
      <c r="M28" s="376"/>
      <c r="N28" s="377"/>
      <c r="O28" s="377"/>
      <c r="P28" s="377"/>
      <c r="Q28" s="377"/>
      <c r="R28" s="377"/>
      <c r="S28" s="377"/>
      <c r="T28" s="418"/>
      <c r="U28" s="376"/>
      <c r="V28" s="377"/>
      <c r="W28" s="377"/>
      <c r="X28" s="418"/>
      <c r="Y28" s="722" t="s">
        <v>536</v>
      </c>
      <c r="Z28" s="723"/>
      <c r="AA28" s="723"/>
      <c r="AB28" s="723"/>
      <c r="AC28" s="356">
        <f>SUM(DotTracking!T33:X33,DotTracking!AR33:AV33,DotTracking!BP33:BT33,DotTracking!ES31:EW31,DotTracking!FB31:FF31,DotTracking!FK31:FO31,DotTracking!FT31:FX31,DotTracking!GC31:GG31)</f>
        <v>0</v>
      </c>
      <c r="AD28" s="356"/>
      <c r="AE28" s="356"/>
      <c r="AF28" s="363"/>
      <c r="AG28" s="363"/>
      <c r="AH28" s="356">
        <f t="shared" si="0"/>
        <v>0</v>
      </c>
      <c r="AI28" s="356"/>
      <c r="AJ28" s="363"/>
      <c r="AK28" s="363"/>
      <c r="AL28" s="363"/>
      <c r="AM28" s="369"/>
      <c r="AN28" s="362"/>
      <c r="AO28" s="363"/>
      <c r="AP28" s="363"/>
      <c r="AQ28" s="363"/>
      <c r="AR28" s="363"/>
      <c r="AS28" s="363"/>
      <c r="AT28" s="356" t="str">
        <f t="shared" si="5"/>
        <v/>
      </c>
      <c r="AU28" s="356"/>
      <c r="AV28" s="401"/>
      <c r="AW28" s="362"/>
      <c r="AX28" s="363"/>
      <c r="AY28" s="363"/>
      <c r="AZ28" s="363"/>
      <c r="BA28" s="363"/>
      <c r="BB28" s="363"/>
      <c r="BC28" s="240"/>
      <c r="BD28" s="146">
        <f t="shared" si="1"/>
        <v>0</v>
      </c>
      <c r="BE28" s="356" t="str">
        <f>IF(AW28="","",HLOOKUP(AW28,AssociatedRef!$AP$1:$BZ$123,LOOKUP($CC$2,AssociatedRef!$AP$2:$AP$123,AssociatedRef!$AQ$2:$AQ$123),FALSE))</f>
        <v/>
      </c>
      <c r="BF28" s="356"/>
      <c r="BG28" s="161" t="s">
        <v>361</v>
      </c>
      <c r="BH28" s="149" t="str">
        <f t="shared" si="2"/>
        <v/>
      </c>
      <c r="BI28" s="729"/>
      <c r="BJ28" s="727"/>
      <c r="BK28" s="727"/>
      <c r="BL28" s="727"/>
      <c r="BM28" s="254"/>
      <c r="BN28" s="240"/>
      <c r="BO28" s="240"/>
      <c r="BP28" s="727"/>
      <c r="BQ28" s="727"/>
      <c r="BR28" s="727"/>
      <c r="BS28" s="727"/>
      <c r="BT28" s="728"/>
      <c r="BU28" s="2" t="s">
        <v>56</v>
      </c>
      <c r="BV28" s="171">
        <f>SUM(IF(DotTracking!P29="Control",DotTracking!T29:X29,0),IF(DotTracking!AN29="Control",DotTracking!AR29:AV29,0),IF(DotTracking!BL29="Control",DotTracking!BP29:BT29,0),IF(DotTracking!P30="Control",DotTracking!T30:X30,0),IF(DotTracking!AN30="Control",DotTracking!AR30:AV30,0),IF(DotTracking!BL30="Control",DotTracking!BP30:BT30,0),IF(DotTracking!P32="Control",DotTracking!T32:X32,0),IF(DotTracking!AN32="Control",DotTracking!AR32:AV32,0),IF(DotTracking!BL32="Control",DotTracking!BP32:BT32,0),IF(DotTracking!P31="Control",DotTracking!T31:X31,0),IF(DotTracking!AN31="Control",DotTracking!AR31:AV31,0),IF(DotTracking!BL31="Control",DotTracking!BP31:BT31,0),IF(DotTracking!P33="Control",DotTracking!T33:X33,0),IF(DotTracking!AN33="Control",DotTracking!AR33:AV33,0),IF(DotTracking!BL33="Control",DotTracking!BP33:BT33,0),IF(DotTracking!P34="Control",DotTracking!T34:X34,0),IF(DotTracking!AN34="Control",DotTracking!AR34:AV34,0),IF(DotTracking!BL34="Control",DotTracking!BP34:BT34,0),IF(DotTracking!P35="Control",DotTracking!T35:X35,0),IF(DotTracking!AN35="Control",DotTracking!AR35:AV35,0),IF(DotTracking!BL35="Control",DotTracking!BP35:BT35,0),IF(DotTracking!P36="Control",DotTracking!T36:X36,0),IF(DotTracking!AN36="Control",DotTracking!AR36:AV36,0),IF(DotTracking!BL36="Control",DotTracking!BP36:BT36,0),IF(DotTracking!P37="Control",DotTracking!T37:X37,0),IF(DotTracking!AN37="Control",DotTracking!AR37:AV37,0),IF(DotTracking!BL37="Control",DotTracking!BP37:BT37,0),IF(DotTracking!P38="Control",DotTracking!T38:X38,0),IF(DotTracking!AN38="Control",DotTracking!AR38:AV38,0),IF(DotTracking!BL38="Control",DotTracking!BP38:BT38,0),0)</f>
        <v>0</v>
      </c>
      <c r="BW28" s="2" t="s">
        <v>52</v>
      </c>
      <c r="BX28" s="171">
        <f>SUM(DotTracking!$T26:$X26,DotTracking!$AR26:$AV26,DotTracking!$BP26:$BT26)</f>
        <v>0</v>
      </c>
      <c r="BY28" s="28">
        <f t="shared" si="4"/>
        <v>0</v>
      </c>
      <c r="CA28" s="2"/>
      <c r="CB28" s="2"/>
    </row>
    <row r="29" spans="1:81" x14ac:dyDescent="0.25">
      <c r="A29" s="393" t="s">
        <v>32</v>
      </c>
      <c r="B29" s="389"/>
      <c r="C29" s="389"/>
      <c r="D29" s="389"/>
      <c r="E29" s="356" t="str">
        <f>IF(E28="primary",4-SUM(G25:H27),IF(E28="Secondary",3-SUM(G25:H27),IF(E28="Tertiary",2-SUM(G25:H27),"Select Priority")))</f>
        <v>Select Priority</v>
      </c>
      <c r="F29" s="356"/>
      <c r="G29" s="356"/>
      <c r="H29" s="356"/>
      <c r="I29" s="356"/>
      <c r="J29" s="356"/>
      <c r="K29" s="356"/>
      <c r="L29" s="401"/>
      <c r="M29" s="680"/>
      <c r="N29" s="417"/>
      <c r="O29" s="417"/>
      <c r="P29" s="417"/>
      <c r="Q29" s="391" t="s">
        <v>10</v>
      </c>
      <c r="R29" s="391"/>
      <c r="S29" s="391" t="s">
        <v>11</v>
      </c>
      <c r="T29" s="409"/>
      <c r="U29" s="392" t="s">
        <v>65</v>
      </c>
      <c r="V29" s="391"/>
      <c r="W29" s="417">
        <f>SUM(DotTracking!F26:O26,DotTracking!AD26:AM26,DotTracking!BB26:BK26)</f>
        <v>5</v>
      </c>
      <c r="X29" s="637"/>
      <c r="Y29" s="722" t="s">
        <v>536</v>
      </c>
      <c r="Z29" s="723"/>
      <c r="AA29" s="723"/>
      <c r="AB29" s="723"/>
      <c r="AC29" s="356">
        <f>SUM(DotTracking!T34:X34,DotTracking!AR34:AV34,DotTracking!BP34:BT34,DotTracking!ES32:EW32,DotTracking!FB32:FF32,DotTracking!FK32:FO32,DotTracking!FT32:FX32,DotTracking!GC32:GG32)</f>
        <v>0</v>
      </c>
      <c r="AD29" s="356"/>
      <c r="AE29" s="356"/>
      <c r="AF29" s="363"/>
      <c r="AG29" s="363"/>
      <c r="AH29" s="356">
        <f t="shared" si="0"/>
        <v>0</v>
      </c>
      <c r="AI29" s="356"/>
      <c r="AJ29" s="363"/>
      <c r="AK29" s="363"/>
      <c r="AL29" s="363"/>
      <c r="AM29" s="369"/>
      <c r="AN29" s="362"/>
      <c r="AO29" s="363"/>
      <c r="AP29" s="363"/>
      <c r="AQ29" s="363"/>
      <c r="AR29" s="363"/>
      <c r="AS29" s="363"/>
      <c r="AT29" s="356" t="str">
        <f t="shared" si="5"/>
        <v/>
      </c>
      <c r="AU29" s="356"/>
      <c r="AV29" s="401"/>
      <c r="AW29" s="362"/>
      <c r="AX29" s="363"/>
      <c r="AY29" s="363"/>
      <c r="AZ29" s="363"/>
      <c r="BA29" s="363"/>
      <c r="BB29" s="363"/>
      <c r="BC29" s="240"/>
      <c r="BD29" s="146">
        <f t="shared" si="1"/>
        <v>0</v>
      </c>
      <c r="BE29" s="356" t="str">
        <f>IF(AW29="","",HLOOKUP(AW29,AssociatedRef!$AP$1:$BZ$123,LOOKUP($CC$2,AssociatedRef!$AP$2:$AP$123,AssociatedRef!$AQ$2:$AQ$123),FALSE))</f>
        <v/>
      </c>
      <c r="BF29" s="356"/>
      <c r="BG29" s="161" t="s">
        <v>361</v>
      </c>
      <c r="BH29" s="149" t="str">
        <f t="shared" si="2"/>
        <v/>
      </c>
      <c r="BI29" s="373" t="s">
        <v>156</v>
      </c>
      <c r="BJ29" s="374"/>
      <c r="BK29" s="374"/>
      <c r="BL29" s="374"/>
      <c r="BM29" s="374"/>
      <c r="BN29" s="374"/>
      <c r="BO29" s="374"/>
      <c r="BP29" s="374"/>
      <c r="BQ29" s="374"/>
      <c r="BR29" s="374"/>
      <c r="BS29" s="374"/>
      <c r="BT29" s="375"/>
      <c r="BU29" s="2" t="s">
        <v>57</v>
      </c>
      <c r="BV29" s="171">
        <f>SUM(IF(DotTracking!P29="Craft",DotTracking!T29:X29,0),IF(DotTracking!AN29="Craft",DotTracking!AR29:AV29,0),IF(DotTracking!BL29="Craft",DotTracking!BP29:BT29,0),IF(DotTracking!P30="Craft",DotTracking!T30:X30,0),IF(DotTracking!AN30="Craft",DotTracking!AR30:AV30,0),IF(DotTracking!BL30="Craft",DotTracking!BP30:BT30,0),IF(DotTracking!P32="Craft",DotTracking!T32:X32,0),IF(DotTracking!AN32="Craft",DotTracking!AR32:AV32,0),IF(DotTracking!BL32="Craft",DotTracking!BP32:BT32,0),IF(DotTracking!P31="Craft",DotTracking!T31:X31,0),IF(DotTracking!AN31="Craft",DotTracking!AR31:AV31,0),IF(DotTracking!BL31="Craft",DotTracking!BP31:BT31,0),IF(DotTracking!P33="Craft",DotTracking!T33:X33,0),IF(DotTracking!AN33="Craft",DotTracking!AR33:AV33,0),IF(DotTracking!BL33="Craft",DotTracking!BP33:BT33,0),IF(DotTracking!P34="Craft",DotTracking!T34:X34,0),IF(DotTracking!AN34="Craft",DotTracking!AR34:AV34,0),IF(DotTracking!BL34="Craft",DotTracking!BP34:BT34,0),IF(DotTracking!P35="Craft",DotTracking!T35:X35,0),IF(DotTracking!AN35="Craft",DotTracking!AR35:AV35,0),IF(DotTracking!BL35="Craft",DotTracking!BP35:BT35,0),IF(DotTracking!P36="Craft",DotTracking!T36:X36,0),IF(DotTracking!AN36="Craft",DotTracking!AR36:AV36,0),IF(DotTracking!BL36="Craft",DotTracking!BP36:BT36,0),IF(DotTracking!P37="Craft",DotTracking!T37:X37,0),IF(DotTracking!AN37="Craft",DotTracking!AR37:AV37,0),IF(DotTracking!BL37="Craft",DotTracking!BP37:BT37,0),IF(DotTracking!P38="Craft",DotTracking!T38:X38,0),IF(DotTracking!AN38="Craft",DotTracking!AR38:AV38,0),IF(DotTracking!BL38="Craft",DotTracking!BP38:BT38,0),0)</f>
        <v>0</v>
      </c>
      <c r="BW29" s="1" t="s">
        <v>936</v>
      </c>
      <c r="BX29" s="171"/>
      <c r="BY29" s="28">
        <f t="shared" si="4"/>
        <v>0</v>
      </c>
      <c r="CA29" s="2"/>
      <c r="CB29" s="2"/>
    </row>
    <row r="30" spans="1:81" ht="15.75" thickBot="1" x14ac:dyDescent="0.3">
      <c r="A30" s="677"/>
      <c r="B30" s="356"/>
      <c r="C30" s="356"/>
      <c r="D30" s="356"/>
      <c r="E30" s="356"/>
      <c r="F30" s="356"/>
      <c r="G30" s="356"/>
      <c r="H30" s="356"/>
      <c r="I30" s="356"/>
      <c r="J30" s="356"/>
      <c r="K30" s="356"/>
      <c r="L30" s="401"/>
      <c r="M30" s="393" t="str">
        <f>Creation!Q19</f>
        <v>Select Pantheon</v>
      </c>
      <c r="N30" s="389"/>
      <c r="O30" s="389"/>
      <c r="P30" s="389"/>
      <c r="Q30" s="356">
        <f>SUM(DotTracking!T4:X4,DotTracking!AR4:AV4,DotTracking!BP4:BT4)</f>
        <v>1</v>
      </c>
      <c r="R30" s="356"/>
      <c r="S30" s="363"/>
      <c r="T30" s="369"/>
      <c r="U30" s="396" t="s">
        <v>11</v>
      </c>
      <c r="V30" s="395"/>
      <c r="W30" s="366"/>
      <c r="X30" s="372"/>
      <c r="Y30" s="722" t="s">
        <v>536</v>
      </c>
      <c r="Z30" s="723"/>
      <c r="AA30" s="723"/>
      <c r="AB30" s="723"/>
      <c r="AC30" s="356">
        <f>SUM(DotTracking!T35:X35,DotTracking!AR35:AV35,DotTracking!BP35:BT35,DotTracking!ES33:EW33,DotTracking!FB33:FF33,DotTracking!FK33:FO33,DotTracking!FT33:FX33,DotTracking!GC33:GG33)</f>
        <v>0</v>
      </c>
      <c r="AD30" s="356"/>
      <c r="AE30" s="356"/>
      <c r="AF30" s="363"/>
      <c r="AG30" s="363"/>
      <c r="AH30" s="356">
        <f t="shared" si="0"/>
        <v>0</v>
      </c>
      <c r="AI30" s="356"/>
      <c r="AJ30" s="363"/>
      <c r="AK30" s="363"/>
      <c r="AL30" s="363"/>
      <c r="AM30" s="369"/>
      <c r="AN30" s="362"/>
      <c r="AO30" s="363"/>
      <c r="AP30" s="363"/>
      <c r="AQ30" s="363"/>
      <c r="AR30" s="363"/>
      <c r="AS30" s="363"/>
      <c r="AT30" s="356" t="str">
        <f t="shared" si="5"/>
        <v/>
      </c>
      <c r="AU30" s="356"/>
      <c r="AV30" s="401"/>
      <c r="AW30" s="362"/>
      <c r="AX30" s="363"/>
      <c r="AY30" s="363"/>
      <c r="AZ30" s="363"/>
      <c r="BA30" s="363"/>
      <c r="BB30" s="363"/>
      <c r="BC30" s="240"/>
      <c r="BD30" s="146">
        <f t="shared" si="1"/>
        <v>0</v>
      </c>
      <c r="BE30" s="356" t="str">
        <f>IF(AW30="","",HLOOKUP(AW30,AssociatedRef!$AP$1:$BZ$123,LOOKUP($CC$2,AssociatedRef!$AP$2:$AP$123,AssociatedRef!$AQ$2:$AQ$123),FALSE))</f>
        <v/>
      </c>
      <c r="BF30" s="356"/>
      <c r="BG30" s="161" t="s">
        <v>361</v>
      </c>
      <c r="BH30" s="149" t="str">
        <f t="shared" si="2"/>
        <v/>
      </c>
      <c r="BI30" s="376"/>
      <c r="BJ30" s="377"/>
      <c r="BK30" s="377"/>
      <c r="BL30" s="377"/>
      <c r="BM30" s="377"/>
      <c r="BN30" s="377"/>
      <c r="BO30" s="377"/>
      <c r="BP30" s="377"/>
      <c r="BQ30" s="377"/>
      <c r="BR30" s="377"/>
      <c r="BS30" s="377"/>
      <c r="BT30" s="418"/>
      <c r="BU30" s="2" t="s">
        <v>41</v>
      </c>
      <c r="BV30" s="171">
        <f>SUM(DotTracking!$T15:$X15,DotTracking!$AR15:$AV15,DotTracking!$BP15:$BT15)</f>
        <v>0</v>
      </c>
      <c r="BW30" s="2" t="s">
        <v>43</v>
      </c>
      <c r="BX30" s="171">
        <f>SUM(DotTracking!$T17:$X17,DotTracking!$AR17:$AV17,DotTracking!$BP17:$BT17)</f>
        <v>0</v>
      </c>
      <c r="BY30" s="28">
        <f t="shared" si="4"/>
        <v>0</v>
      </c>
      <c r="CA30" s="2"/>
      <c r="CB30" s="2"/>
    </row>
    <row r="31" spans="1:81" x14ac:dyDescent="0.25">
      <c r="A31" s="393" t="s">
        <v>19</v>
      </c>
      <c r="B31" s="389"/>
      <c r="C31" s="389"/>
      <c r="D31" s="389"/>
      <c r="E31" s="356">
        <f>SUM(DotTracking!E12:O12,DotTracking!AC12:AM12,DotTracking!BA12:BK12)</f>
        <v>1</v>
      </c>
      <c r="F31" s="356"/>
      <c r="G31" s="363"/>
      <c r="H31" s="363"/>
      <c r="I31" s="363"/>
      <c r="J31" s="363"/>
      <c r="K31" s="363"/>
      <c r="L31" s="369"/>
      <c r="M31" s="393" t="str">
        <f>Creation!Q20</f>
        <v>Select Pantheon</v>
      </c>
      <c r="N31" s="389"/>
      <c r="O31" s="389"/>
      <c r="P31" s="389"/>
      <c r="Q31" s="356">
        <f>SUM(DotTracking!T5:X5,DotTracking!AR5:AV5,DotTracking!BP5:BT5)</f>
        <v>1</v>
      </c>
      <c r="R31" s="356"/>
      <c r="S31" s="363"/>
      <c r="T31" s="369"/>
      <c r="U31" s="657"/>
      <c r="V31" s="657"/>
      <c r="W31" s="657"/>
      <c r="X31" s="657"/>
      <c r="Y31" s="722" t="s">
        <v>536</v>
      </c>
      <c r="Z31" s="723"/>
      <c r="AA31" s="723"/>
      <c r="AB31" s="723"/>
      <c r="AC31" s="356">
        <f>SUM(DotTracking!T36:X36,DotTracking!AR36:AV36,DotTracking!BP36:BT36,DotTracking!ES34:EW34,DotTracking!FB34:FF34,DotTracking!FK34:FO34,DotTracking!FT34:FX34,DotTracking!GC34:GG34)</f>
        <v>0</v>
      </c>
      <c r="AD31" s="356"/>
      <c r="AE31" s="356"/>
      <c r="AF31" s="363"/>
      <c r="AG31" s="363"/>
      <c r="AH31" s="356">
        <f t="shared" si="0"/>
        <v>0</v>
      </c>
      <c r="AI31" s="356"/>
      <c r="AJ31" s="363"/>
      <c r="AK31" s="363"/>
      <c r="AL31" s="363"/>
      <c r="AM31" s="369"/>
      <c r="AN31" s="362"/>
      <c r="AO31" s="363"/>
      <c r="AP31" s="363"/>
      <c r="AQ31" s="363"/>
      <c r="AR31" s="363"/>
      <c r="AS31" s="363"/>
      <c r="AT31" s="356" t="str">
        <f t="shared" si="5"/>
        <v/>
      </c>
      <c r="AU31" s="356"/>
      <c r="AV31" s="401"/>
      <c r="AW31" s="362"/>
      <c r="AX31" s="363"/>
      <c r="AY31" s="363"/>
      <c r="AZ31" s="363"/>
      <c r="BA31" s="363"/>
      <c r="BB31" s="363"/>
      <c r="BC31" s="240"/>
      <c r="BD31" s="146">
        <f t="shared" si="1"/>
        <v>0</v>
      </c>
      <c r="BE31" s="356" t="str">
        <f>IF(AW31="","",HLOOKUP(AW31,AssociatedRef!$AP$1:$BZ$123,LOOKUP($CC$2,AssociatedRef!$AP$2:$AP$123,AssociatedRef!$AQ$2:$AQ$123),FALSE))</f>
        <v/>
      </c>
      <c r="BF31" s="356"/>
      <c r="BG31" s="161" t="s">
        <v>361</v>
      </c>
      <c r="BH31" s="149" t="str">
        <f t="shared" si="2"/>
        <v/>
      </c>
      <c r="BI31" s="392" t="s">
        <v>75</v>
      </c>
      <c r="BJ31" s="391"/>
      <c r="BK31" s="391"/>
      <c r="BL31" s="391"/>
      <c r="BM31" s="144" t="s">
        <v>76</v>
      </c>
      <c r="BN31" s="391" t="s">
        <v>11</v>
      </c>
      <c r="BO31" s="391"/>
      <c r="BP31" s="391" t="s">
        <v>77</v>
      </c>
      <c r="BQ31" s="391"/>
      <c r="BR31" s="391"/>
      <c r="BS31" s="391"/>
      <c r="BT31" s="409"/>
      <c r="BU31" s="2" t="s">
        <v>42</v>
      </c>
      <c r="BV31" s="171">
        <f>SUM(DotTracking!$T16:$X16,DotTracking!$AR16:$AV16,DotTracking!$BP16:$BT16)</f>
        <v>0</v>
      </c>
      <c r="BW31" s="2" t="s">
        <v>48</v>
      </c>
      <c r="BX31" s="171">
        <f>SUM(DotTracking!$T22:$X22,DotTracking!$AR22:$AV22,DotTracking!$BP22:$BT22)</f>
        <v>0</v>
      </c>
      <c r="BY31" s="28">
        <f t="shared" si="4"/>
        <v>0</v>
      </c>
      <c r="CA31" s="2"/>
      <c r="CB31" s="2"/>
    </row>
    <row r="32" spans="1:81" x14ac:dyDescent="0.25">
      <c r="A32" s="393" t="s">
        <v>20</v>
      </c>
      <c r="B32" s="389"/>
      <c r="C32" s="389"/>
      <c r="D32" s="389"/>
      <c r="E32" s="356">
        <f>SUM(DotTracking!E13:O13,DotTracking!AC13:AM13,DotTracking!BA13:BK13)</f>
        <v>1</v>
      </c>
      <c r="F32" s="356"/>
      <c r="G32" s="363"/>
      <c r="H32" s="363"/>
      <c r="I32" s="363"/>
      <c r="J32" s="363"/>
      <c r="K32" s="363"/>
      <c r="L32" s="369"/>
      <c r="M32" s="393" t="str">
        <f>Creation!Q21</f>
        <v>Select Pantheon</v>
      </c>
      <c r="N32" s="389"/>
      <c r="O32" s="389"/>
      <c r="P32" s="389"/>
      <c r="Q32" s="356">
        <f>SUM(DotTracking!T6:X6,DotTracking!AR6:AV6,DotTracking!BP6:BT6)</f>
        <v>1</v>
      </c>
      <c r="R32" s="356"/>
      <c r="S32" s="363"/>
      <c r="T32" s="369"/>
      <c r="U32" s="657"/>
      <c r="V32" s="657"/>
      <c r="W32" s="657"/>
      <c r="X32" s="657"/>
      <c r="Y32" s="722" t="s">
        <v>536</v>
      </c>
      <c r="Z32" s="723"/>
      <c r="AA32" s="723"/>
      <c r="AB32" s="723"/>
      <c r="AC32" s="356">
        <f>SUM(DotTracking!T37:X37,DotTracking!AR37:AV37,DotTracking!BP37:BT37,DotTracking!ES35:EW35,DotTracking!FB35:FF35,DotTracking!FK35:FO35,DotTracking!FT35:FX35,DotTracking!GC35:GG35)</f>
        <v>0</v>
      </c>
      <c r="AD32" s="356"/>
      <c r="AE32" s="356"/>
      <c r="AF32" s="363"/>
      <c r="AG32" s="363"/>
      <c r="AH32" s="356">
        <f t="shared" si="0"/>
        <v>0</v>
      </c>
      <c r="AI32" s="356"/>
      <c r="AJ32" s="363"/>
      <c r="AK32" s="363"/>
      <c r="AL32" s="363"/>
      <c r="AM32" s="369"/>
      <c r="AN32" s="362"/>
      <c r="AO32" s="363"/>
      <c r="AP32" s="363"/>
      <c r="AQ32" s="363"/>
      <c r="AR32" s="363"/>
      <c r="AS32" s="363"/>
      <c r="AT32" s="356" t="str">
        <f t="shared" si="5"/>
        <v/>
      </c>
      <c r="AU32" s="356"/>
      <c r="AV32" s="401"/>
      <c r="AW32" s="362"/>
      <c r="AX32" s="363"/>
      <c r="AY32" s="363"/>
      <c r="AZ32" s="363"/>
      <c r="BA32" s="363"/>
      <c r="BB32" s="363"/>
      <c r="BC32" s="240"/>
      <c r="BD32" s="146">
        <f t="shared" si="1"/>
        <v>0</v>
      </c>
      <c r="BE32" s="356" t="str">
        <f>IF(AW32="","",HLOOKUP(AW32,AssociatedRef!$AP$1:$BZ$123,LOOKUP($CC$2,AssociatedRef!$AP$2:$AP$123,AssociatedRef!$AQ$2:$AQ$123),FALSE))</f>
        <v/>
      </c>
      <c r="BF32" s="356"/>
      <c r="BG32" s="161" t="s">
        <v>361</v>
      </c>
      <c r="BH32" s="149" t="str">
        <f t="shared" si="2"/>
        <v/>
      </c>
      <c r="BI32" s="362"/>
      <c r="BJ32" s="363"/>
      <c r="BK32" s="363"/>
      <c r="BL32" s="363"/>
      <c r="BM32" s="240"/>
      <c r="BN32" s="240"/>
      <c r="BO32" s="240"/>
      <c r="BP32" s="363"/>
      <c r="BQ32" s="363"/>
      <c r="BR32" s="363"/>
      <c r="BS32" s="363"/>
      <c r="BT32" s="369"/>
      <c r="BU32" s="2" t="s">
        <v>43</v>
      </c>
      <c r="BV32" s="171">
        <f>SUM(DotTracking!$T17:$X17,DotTracking!$AR17:$AV17,DotTracking!$BP17:$BT17)</f>
        <v>0</v>
      </c>
      <c r="BW32" s="2" t="s">
        <v>49</v>
      </c>
      <c r="BX32" s="171">
        <f>SUM(DotTracking!$T23:$X23,DotTracking!$AR23:$AV23,DotTracking!$BP23:$BT23)</f>
        <v>0</v>
      </c>
      <c r="BY32" s="28">
        <f t="shared" si="4"/>
        <v>0</v>
      </c>
      <c r="CA32" s="2"/>
      <c r="CB32" s="2"/>
    </row>
    <row r="33" spans="1:80" ht="15.75" thickBot="1" x14ac:dyDescent="0.3">
      <c r="A33" s="393" t="s">
        <v>21</v>
      </c>
      <c r="B33" s="389"/>
      <c r="C33" s="389"/>
      <c r="D33" s="389"/>
      <c r="E33" s="356">
        <f>SUM(DotTracking!E14:O14,DotTracking!AC14:AM14,DotTracking!BA14:BK14)</f>
        <v>1</v>
      </c>
      <c r="F33" s="356"/>
      <c r="G33" s="398"/>
      <c r="H33" s="732"/>
      <c r="I33" s="363"/>
      <c r="J33" s="363"/>
      <c r="K33" s="363"/>
      <c r="L33" s="369"/>
      <c r="M33" s="396" t="str">
        <f>Creation!Q22</f>
        <v>Select Pantheon</v>
      </c>
      <c r="N33" s="395"/>
      <c r="O33" s="395"/>
      <c r="P33" s="395"/>
      <c r="Q33" s="434">
        <f>SUM(DotTracking!T7:X7,DotTracking!AR7:AV7,DotTracking!BP7:BT7)</f>
        <v>1</v>
      </c>
      <c r="R33" s="434"/>
      <c r="S33" s="366"/>
      <c r="T33" s="372"/>
      <c r="U33" s="657"/>
      <c r="V33" s="657"/>
      <c r="W33" s="657"/>
      <c r="X33" s="657"/>
      <c r="Y33" s="730" t="s">
        <v>536</v>
      </c>
      <c r="Z33" s="731"/>
      <c r="AA33" s="731"/>
      <c r="AB33" s="731"/>
      <c r="AC33" s="356">
        <f>SUM(DotTracking!T38:X38,DotTracking!AR38:AV38,DotTracking!BP38:BT38,DotTracking!ES36:EW36,DotTracking!FB36:FF36,DotTracking!FK36:FO36,DotTracking!FT36:FX36,DotTracking!GC36:GG36)</f>
        <v>0</v>
      </c>
      <c r="AD33" s="356"/>
      <c r="AE33" s="356"/>
      <c r="AF33" s="363"/>
      <c r="AG33" s="363"/>
      <c r="AH33" s="434">
        <f t="shared" si="0"/>
        <v>0</v>
      </c>
      <c r="AI33" s="434"/>
      <c r="AJ33" s="366"/>
      <c r="AK33" s="366"/>
      <c r="AL33" s="366"/>
      <c r="AM33" s="372"/>
      <c r="AN33" s="368"/>
      <c r="AO33" s="366"/>
      <c r="AP33" s="366"/>
      <c r="AQ33" s="366"/>
      <c r="AR33" s="366"/>
      <c r="AS33" s="366"/>
      <c r="AT33" s="434" t="str">
        <f t="shared" si="5"/>
        <v/>
      </c>
      <c r="AU33" s="434"/>
      <c r="AV33" s="474"/>
      <c r="AW33" s="362"/>
      <c r="AX33" s="363"/>
      <c r="AY33" s="363"/>
      <c r="AZ33" s="363"/>
      <c r="BA33" s="363"/>
      <c r="BB33" s="363"/>
      <c r="BC33" s="240"/>
      <c r="BD33" s="146">
        <f t="shared" si="1"/>
        <v>0</v>
      </c>
      <c r="BE33" s="356" t="str">
        <f>IF(AW33="","",HLOOKUP(AW33,AssociatedRef!$AP$1:$BZ$123,LOOKUP($CC$2,AssociatedRef!$AP$2:$AP$123,AssociatedRef!$AQ$2:$AQ$123),FALSE))</f>
        <v/>
      </c>
      <c r="BF33" s="356"/>
      <c r="BG33" s="161" t="s">
        <v>361</v>
      </c>
      <c r="BH33" s="149" t="str">
        <f t="shared" si="2"/>
        <v/>
      </c>
      <c r="BI33" s="362"/>
      <c r="BJ33" s="363"/>
      <c r="BK33" s="363"/>
      <c r="BL33" s="363"/>
      <c r="BM33" s="240"/>
      <c r="BN33" s="240"/>
      <c r="BO33" s="240"/>
      <c r="BP33" s="363"/>
      <c r="BQ33" s="363"/>
      <c r="BR33" s="363"/>
      <c r="BS33" s="363"/>
      <c r="BT33" s="369"/>
      <c r="BU33" s="2" t="s">
        <v>44</v>
      </c>
      <c r="BV33" s="171">
        <f>SUM(DotTracking!$T18:$X18,DotTracking!$AR18:$AV18,DotTracking!$BP18:$BT18)</f>
        <v>0</v>
      </c>
      <c r="BW33" s="2" t="s">
        <v>50</v>
      </c>
      <c r="BX33" s="171">
        <f>SUM(DotTracking!$T24:$X24,DotTracking!$AR24:$AV24,DotTracking!$BP24:$BT24)</f>
        <v>0</v>
      </c>
      <c r="BY33" s="28">
        <f t="shared" si="4"/>
        <v>0</v>
      </c>
      <c r="CA33" s="2"/>
      <c r="CB33" s="2"/>
    </row>
    <row r="34" spans="1:80" x14ac:dyDescent="0.25">
      <c r="A34" s="393" t="s">
        <v>15</v>
      </c>
      <c r="B34" s="389"/>
      <c r="C34" s="389"/>
      <c r="D34" s="389"/>
      <c r="E34" s="726" t="s">
        <v>59</v>
      </c>
      <c r="F34" s="726"/>
      <c r="G34" s="726"/>
      <c r="H34" s="726"/>
      <c r="I34" s="356"/>
      <c r="J34" s="356"/>
      <c r="K34" s="356"/>
      <c r="L34" s="401"/>
      <c r="M34" s="657"/>
      <c r="N34" s="657"/>
      <c r="O34" s="657"/>
      <c r="P34" s="657"/>
      <c r="Q34" s="657"/>
      <c r="R34" s="657"/>
      <c r="S34" s="657"/>
      <c r="T34" s="658"/>
      <c r="U34" s="656"/>
      <c r="V34" s="657"/>
      <c r="W34" s="657"/>
      <c r="X34" s="657"/>
      <c r="Y34" s="392" t="s">
        <v>63</v>
      </c>
      <c r="Z34" s="391"/>
      <c r="AA34" s="391"/>
      <c r="AB34" s="391"/>
      <c r="AC34" s="391"/>
      <c r="AD34" s="391"/>
      <c r="AE34" s="391"/>
      <c r="AF34" s="526" t="str">
        <f>IF(CC2="Select","",LOOKUP(CC2,PantheonList!A18:A139,PantheonList!I18:I139))</f>
        <v/>
      </c>
      <c r="AG34" s="526"/>
      <c r="AH34" s="526"/>
      <c r="AI34" s="526"/>
      <c r="AJ34" s="526"/>
      <c r="AK34" s="526"/>
      <c r="AL34" s="526"/>
      <c r="AM34" s="526"/>
      <c r="AN34" s="526"/>
      <c r="AO34" s="526"/>
      <c r="AP34" s="526"/>
      <c r="AQ34" s="526"/>
      <c r="AR34" s="526"/>
      <c r="AS34" s="526"/>
      <c r="AT34" s="526"/>
      <c r="AU34" s="526"/>
      <c r="AV34" s="651"/>
      <c r="AW34" s="362"/>
      <c r="AX34" s="363"/>
      <c r="AY34" s="363"/>
      <c r="AZ34" s="363"/>
      <c r="BA34" s="363"/>
      <c r="BB34" s="363"/>
      <c r="BC34" s="240"/>
      <c r="BD34" s="146">
        <f t="shared" si="1"/>
        <v>0</v>
      </c>
      <c r="BE34" s="356" t="str">
        <f>IF(AW34="","",HLOOKUP(AW34,AssociatedRef!$AP$1:$BZ$123,LOOKUP($CC$2,AssociatedRef!$AP$2:$AP$123,AssociatedRef!$AQ$2:$AQ$123),FALSE))</f>
        <v/>
      </c>
      <c r="BF34" s="356"/>
      <c r="BG34" s="161" t="s">
        <v>361</v>
      </c>
      <c r="BH34" s="149" t="str">
        <f t="shared" si="2"/>
        <v/>
      </c>
      <c r="BI34" s="362"/>
      <c r="BJ34" s="363"/>
      <c r="BK34" s="363"/>
      <c r="BL34" s="363"/>
      <c r="BM34" s="240"/>
      <c r="BN34" s="240"/>
      <c r="BO34" s="240"/>
      <c r="BP34" s="363"/>
      <c r="BQ34" s="363"/>
      <c r="BR34" s="363"/>
      <c r="BS34" s="363"/>
      <c r="BT34" s="369"/>
      <c r="BU34" s="2" t="s">
        <v>45</v>
      </c>
      <c r="BV34" s="171">
        <f>SUM(DotTracking!$T19:$X19,DotTracking!$AR19:$AV19,DotTracking!$BP19:$BT19)</f>
        <v>0</v>
      </c>
      <c r="BW34" s="2" t="s">
        <v>51</v>
      </c>
      <c r="BX34" s="171">
        <f>SUM(DotTracking!$T25:$X25,DotTracking!$AR25:$AV25,DotTracking!$BP25:$BT25)</f>
        <v>0</v>
      </c>
      <c r="BY34" s="28">
        <f t="shared" si="4"/>
        <v>0</v>
      </c>
      <c r="CA34" s="2"/>
      <c r="CB34" s="2"/>
    </row>
    <row r="35" spans="1:80" ht="15.75" thickBot="1" x14ac:dyDescent="0.3">
      <c r="A35" s="396" t="s">
        <v>32</v>
      </c>
      <c r="B35" s="395"/>
      <c r="C35" s="395"/>
      <c r="D35" s="395"/>
      <c r="E35" s="356" t="str">
        <f>IF(E34="primary",4-SUM(G31:H33),IF(E34="Secondary",3-SUM(G31:H33),IF(E34="Tertiary",2-SUM(G31:H33),"Select Priority")))</f>
        <v>Select Priority</v>
      </c>
      <c r="F35" s="356"/>
      <c r="G35" s="356"/>
      <c r="H35" s="356"/>
      <c r="I35" s="434"/>
      <c r="J35" s="434"/>
      <c r="K35" s="434"/>
      <c r="L35" s="474"/>
      <c r="M35" s="657"/>
      <c r="N35" s="657"/>
      <c r="O35" s="657"/>
      <c r="P35" s="657"/>
      <c r="Q35" s="657"/>
      <c r="R35" s="657"/>
      <c r="S35" s="657"/>
      <c r="T35" s="658"/>
      <c r="U35" s="656"/>
      <c r="V35" s="657"/>
      <c r="W35" s="657"/>
      <c r="X35" s="657"/>
      <c r="Y35" s="393"/>
      <c r="Z35" s="389"/>
      <c r="AA35" s="389"/>
      <c r="AB35" s="389"/>
      <c r="AC35" s="389"/>
      <c r="AD35" s="389"/>
      <c r="AE35" s="389"/>
      <c r="AF35" s="535"/>
      <c r="AG35" s="535"/>
      <c r="AH35" s="535"/>
      <c r="AI35" s="535"/>
      <c r="AJ35" s="535"/>
      <c r="AK35" s="535"/>
      <c r="AL35" s="535"/>
      <c r="AM35" s="535"/>
      <c r="AN35" s="535"/>
      <c r="AO35" s="535"/>
      <c r="AP35" s="535"/>
      <c r="AQ35" s="535"/>
      <c r="AR35" s="535"/>
      <c r="AS35" s="535"/>
      <c r="AT35" s="535"/>
      <c r="AU35" s="535"/>
      <c r="AV35" s="652"/>
      <c r="AW35" s="362"/>
      <c r="AX35" s="363"/>
      <c r="AY35" s="363"/>
      <c r="AZ35" s="363"/>
      <c r="BA35" s="363"/>
      <c r="BB35" s="363"/>
      <c r="BC35" s="240"/>
      <c r="BD35" s="146">
        <f t="shared" si="1"/>
        <v>0</v>
      </c>
      <c r="BE35" s="356" t="str">
        <f>IF(AW35="","",HLOOKUP(AW35,AssociatedRef!$AP$1:$BZ$123,LOOKUP($CC$2,AssociatedRef!$AP$2:$AP$123,AssociatedRef!$AQ$2:$AQ$123),FALSE))</f>
        <v/>
      </c>
      <c r="BF35" s="356"/>
      <c r="BG35" s="161" t="s">
        <v>361</v>
      </c>
      <c r="BH35" s="149" t="str">
        <f t="shared" si="2"/>
        <v/>
      </c>
      <c r="BI35" s="362"/>
      <c r="BJ35" s="363"/>
      <c r="BK35" s="363"/>
      <c r="BL35" s="363"/>
      <c r="BM35" s="240"/>
      <c r="BN35" s="240"/>
      <c r="BO35" s="240"/>
      <c r="BP35" s="363"/>
      <c r="BQ35" s="363"/>
      <c r="BR35" s="363"/>
      <c r="BS35" s="363"/>
      <c r="BT35" s="369"/>
      <c r="BU35" s="2" t="s">
        <v>46</v>
      </c>
      <c r="BV35" s="171">
        <f>SUM(DotTracking!$T20:$X20,DotTracking!$AR20:$AV20,DotTracking!$BP20:$BT20)</f>
        <v>0</v>
      </c>
      <c r="BW35" s="2" t="s">
        <v>58</v>
      </c>
      <c r="BX35" s="171">
        <f>SUM(IF(DotTracking!P29="Science",DotTracking!T29:X29,0),IF(DotTracking!AN29="Science",DotTracking!AR29:AV29,0),IF(DotTracking!BL29="Science",DotTracking!BP29:BT29,0),IF(DotTracking!P30="Science",DotTracking!T30:X30,0),IF(DotTracking!AN30="Science",DotTracking!AR30:AV30,0),IF(DotTracking!BL30="Science",DotTracking!BP30:BT30,0),IF(DotTracking!P32="Science",DotTracking!T32:X32,0),IF(DotTracking!AN32="Science",DotTracking!AR32:AV32,0),IF(DotTracking!BL32="Science",DotTracking!BP32:BT32,0),IF(DotTracking!P31="Science",DotTracking!T31:X31,0),IF(DotTracking!AN31="Science",DotTracking!AR31:AV31,0),IF(DotTracking!BL31="Science",DotTracking!BP31:BT31,0),IF(DotTracking!P33="Science",DotTracking!T33:X33,0),IF(DotTracking!AN33="Science",DotTracking!AR33:AV33,0),IF(DotTracking!BL33="Science",DotTracking!BP33:BT33,0),IF(DotTracking!P34="Science",DotTracking!T34:X34,0),IF(DotTracking!AN34="Science",DotTracking!AR34:AV34,0),IF(DotTracking!BL34="Science",DotTracking!BP34:BT34,0),IF(DotTracking!P35="Science",DotTracking!T35:X35,0),IF(DotTracking!AN35="Science",DotTracking!AR35:AV35,0),IF(DotTracking!BL35="Science",DotTracking!BP35:BT35,0),IF(DotTracking!P36="Science",DotTracking!T36:X36,0),IF(DotTracking!AN36="Science",DotTracking!AR36:AV36,0),IF(DotTracking!BL36="Science",DotTracking!BP36:BT36,0),IF(DotTracking!P37="Science",DotTracking!T37:X37,0),IF(DotTracking!AN37="Science",DotTracking!AR37:AV37,0),IF(DotTracking!BL37="Science",DotTracking!BP37:BT37,0),IF(DotTracking!P38="Science",DotTracking!T38:X38,0),IF(DotTracking!AN38="Science",DotTracking!AR38:AV38,0),IF(DotTracking!BL38="Science",DotTracking!BP38:BT38,0),0)</f>
        <v>0</v>
      </c>
      <c r="BY35" s="28">
        <f t="shared" si="4"/>
        <v>0</v>
      </c>
      <c r="CA35" s="2"/>
      <c r="CB35" s="2"/>
    </row>
    <row r="36" spans="1:80" x14ac:dyDescent="0.25">
      <c r="A36" s="373" t="s">
        <v>80</v>
      </c>
      <c r="B36" s="374"/>
      <c r="C36" s="374"/>
      <c r="D36" s="374"/>
      <c r="E36" s="374"/>
      <c r="F36" s="374"/>
      <c r="G36" s="374"/>
      <c r="H36" s="374"/>
      <c r="I36" s="374"/>
      <c r="J36" s="374"/>
      <c r="K36" s="374"/>
      <c r="L36" s="374"/>
      <c r="M36" s="374"/>
      <c r="N36" s="374"/>
      <c r="O36" s="374"/>
      <c r="P36" s="374"/>
      <c r="Q36" s="374"/>
      <c r="R36" s="374"/>
      <c r="S36" s="374"/>
      <c r="T36" s="374"/>
      <c r="U36" s="374"/>
      <c r="V36" s="374"/>
      <c r="W36" s="374"/>
      <c r="X36" s="375"/>
      <c r="Y36" s="393" t="s">
        <v>64</v>
      </c>
      <c r="Z36" s="389"/>
      <c r="AA36" s="389"/>
      <c r="AB36" s="389"/>
      <c r="AC36" s="389"/>
      <c r="AD36" s="389"/>
      <c r="AE36" s="389"/>
      <c r="AF36" s="535" t="str">
        <f>IF(CC2="Select","",LOOKUP(CC2,PantheonList!A18:A135,PantheonList!H18:H135))</f>
        <v/>
      </c>
      <c r="AG36" s="535"/>
      <c r="AH36" s="535"/>
      <c r="AI36" s="535"/>
      <c r="AJ36" s="535"/>
      <c r="AK36" s="535"/>
      <c r="AL36" s="535"/>
      <c r="AM36" s="535"/>
      <c r="AN36" s="535"/>
      <c r="AO36" s="535"/>
      <c r="AP36" s="535"/>
      <c r="AQ36" s="535"/>
      <c r="AR36" s="535"/>
      <c r="AS36" s="535"/>
      <c r="AT36" s="535"/>
      <c r="AU36" s="535"/>
      <c r="AV36" s="652"/>
      <c r="AW36" s="362"/>
      <c r="AX36" s="363"/>
      <c r="AY36" s="363"/>
      <c r="AZ36" s="363"/>
      <c r="BA36" s="363"/>
      <c r="BB36" s="363"/>
      <c r="BC36" s="240"/>
      <c r="BD36" s="146">
        <f t="shared" si="1"/>
        <v>0</v>
      </c>
      <c r="BE36" s="356" t="str">
        <f>IF(AW36="","",HLOOKUP(AW36,AssociatedRef!$AP$1:$BZ$123,LOOKUP($CC$2,AssociatedRef!$AP$2:$AP$123,AssociatedRef!$AQ$2:$AQ$123),FALSE))</f>
        <v/>
      </c>
      <c r="BF36" s="356"/>
      <c r="BG36" s="161" t="s">
        <v>361</v>
      </c>
      <c r="BH36" s="149" t="str">
        <f t="shared" si="2"/>
        <v/>
      </c>
      <c r="BI36" s="362"/>
      <c r="BJ36" s="363"/>
      <c r="BK36" s="363"/>
      <c r="BL36" s="363"/>
      <c r="BM36" s="240"/>
      <c r="BN36" s="240"/>
      <c r="BO36" s="240"/>
      <c r="BP36" s="363"/>
      <c r="BQ36" s="363"/>
      <c r="BR36" s="363"/>
      <c r="BS36" s="363"/>
      <c r="BT36" s="369"/>
      <c r="BU36" s="2" t="s">
        <v>47</v>
      </c>
      <c r="BV36" s="171">
        <f>SUM(DotTracking!$T21:$X21,DotTracking!$AR21:$AV21,DotTracking!$BP21:$BT21)</f>
        <v>0</v>
      </c>
      <c r="BW36" s="2" t="s">
        <v>52</v>
      </c>
      <c r="BX36" s="171">
        <f>SUM(DotTracking!$T26:$X26,DotTracking!$AR26:$AV26,DotTracking!$BP26:$BT26)</f>
        <v>0</v>
      </c>
      <c r="BY36" s="28">
        <f t="shared" si="4"/>
        <v>0</v>
      </c>
      <c r="CA36" s="2"/>
      <c r="CB36" s="2"/>
    </row>
    <row r="37" spans="1:80" ht="15.75" thickBot="1" x14ac:dyDescent="0.3">
      <c r="A37" s="376"/>
      <c r="B37" s="377"/>
      <c r="C37" s="377"/>
      <c r="D37" s="377"/>
      <c r="E37" s="377"/>
      <c r="F37" s="377"/>
      <c r="G37" s="377"/>
      <c r="H37" s="377"/>
      <c r="I37" s="377"/>
      <c r="J37" s="377"/>
      <c r="K37" s="377"/>
      <c r="L37" s="377"/>
      <c r="M37" s="377"/>
      <c r="N37" s="377"/>
      <c r="O37" s="377"/>
      <c r="P37" s="377"/>
      <c r="Q37" s="377"/>
      <c r="R37" s="377"/>
      <c r="S37" s="377"/>
      <c r="T37" s="377"/>
      <c r="U37" s="377"/>
      <c r="V37" s="377"/>
      <c r="W37" s="377"/>
      <c r="X37" s="418"/>
      <c r="Y37" s="393"/>
      <c r="Z37" s="389"/>
      <c r="AA37" s="389"/>
      <c r="AB37" s="389"/>
      <c r="AC37" s="389"/>
      <c r="AD37" s="389"/>
      <c r="AE37" s="389"/>
      <c r="AF37" s="535"/>
      <c r="AG37" s="535"/>
      <c r="AH37" s="535"/>
      <c r="AI37" s="535"/>
      <c r="AJ37" s="535"/>
      <c r="AK37" s="535"/>
      <c r="AL37" s="535"/>
      <c r="AM37" s="535"/>
      <c r="AN37" s="535"/>
      <c r="AO37" s="535"/>
      <c r="AP37" s="535"/>
      <c r="AQ37" s="535"/>
      <c r="AR37" s="535"/>
      <c r="AS37" s="535"/>
      <c r="AT37" s="535"/>
      <c r="AU37" s="535"/>
      <c r="AV37" s="652"/>
      <c r="AW37" s="362"/>
      <c r="AX37" s="363"/>
      <c r="AY37" s="363"/>
      <c r="AZ37" s="363"/>
      <c r="BA37" s="363"/>
      <c r="BB37" s="363"/>
      <c r="BC37" s="240"/>
      <c r="BD37" s="146">
        <f t="shared" si="1"/>
        <v>0</v>
      </c>
      <c r="BE37" s="356" t="str">
        <f>IF(AW37="","",HLOOKUP(AW37,AssociatedRef!$AP$1:$BZ$123,LOOKUP($CC$2,AssociatedRef!$AP$2:$AP$123,AssociatedRef!$AQ$2:$AQ$123),FALSE))</f>
        <v/>
      </c>
      <c r="BF37" s="356"/>
      <c r="BG37" s="161" t="s">
        <v>361</v>
      </c>
      <c r="BH37" s="149" t="str">
        <f t="shared" si="2"/>
        <v/>
      </c>
      <c r="BI37" s="362"/>
      <c r="BJ37" s="363"/>
      <c r="BK37" s="363"/>
      <c r="BL37" s="363"/>
      <c r="BM37" s="240"/>
      <c r="BN37" s="240"/>
      <c r="BO37" s="240"/>
      <c r="BP37" s="363"/>
      <c r="BQ37" s="363"/>
      <c r="BR37" s="363"/>
      <c r="BS37" s="363"/>
      <c r="BT37" s="369"/>
      <c r="BU37" s="2" t="s">
        <v>49</v>
      </c>
      <c r="BV37" s="171">
        <f>SUM(DotTracking!$T23:$X23,DotTracking!$AR23:$AV23,DotTracking!$BP23:$BT23)</f>
        <v>0</v>
      </c>
      <c r="BW37" s="2" t="s">
        <v>53</v>
      </c>
      <c r="BX37" s="171">
        <f>SUM(DotTracking!$T27:$X27,DotTracking!$AR27:$AV27,DotTracking!$BP27:$BT27)</f>
        <v>0</v>
      </c>
      <c r="BY37" s="28">
        <f t="shared" si="4"/>
        <v>0</v>
      </c>
      <c r="CA37" s="2"/>
      <c r="CB37" s="2"/>
    </row>
    <row r="38" spans="1:80" ht="15.75" thickBot="1" x14ac:dyDescent="0.3">
      <c r="A38" s="680"/>
      <c r="B38" s="417"/>
      <c r="C38" s="417"/>
      <c r="D38" s="417"/>
      <c r="E38" s="391" t="s">
        <v>81</v>
      </c>
      <c r="F38" s="391"/>
      <c r="G38" s="391"/>
      <c r="H38" s="391"/>
      <c r="I38" s="391" t="s">
        <v>82</v>
      </c>
      <c r="J38" s="391"/>
      <c r="K38" s="391"/>
      <c r="L38" s="391"/>
      <c r="M38" s="391"/>
      <c r="N38" s="391"/>
      <c r="O38" s="391"/>
      <c r="P38" s="391"/>
      <c r="Q38" s="391" t="s">
        <v>81</v>
      </c>
      <c r="R38" s="391"/>
      <c r="S38" s="391"/>
      <c r="T38" s="391"/>
      <c r="U38" s="391" t="s">
        <v>82</v>
      </c>
      <c r="V38" s="391"/>
      <c r="W38" s="391"/>
      <c r="X38" s="409"/>
      <c r="Y38" s="396" t="s">
        <v>136</v>
      </c>
      <c r="Z38" s="395"/>
      <c r="AA38" s="395"/>
      <c r="AB38" s="395"/>
      <c r="AC38" s="395"/>
      <c r="AD38" s="395"/>
      <c r="AE38" s="395"/>
      <c r="AF38" s="434" t="str">
        <f>IF(CC1="Select","",LOOKUP(CC1,PantheonList!A3:A15,PantheonList!B3:B15))</f>
        <v/>
      </c>
      <c r="AG38" s="434"/>
      <c r="AH38" s="434"/>
      <c r="AI38" s="434"/>
      <c r="AJ38" s="434"/>
      <c r="AK38" s="434"/>
      <c r="AL38" s="434"/>
      <c r="AM38" s="434"/>
      <c r="AN38" s="434"/>
      <c r="AO38" s="434"/>
      <c r="AP38" s="434"/>
      <c r="AQ38" s="434"/>
      <c r="AR38" s="434"/>
      <c r="AS38" s="434"/>
      <c r="AT38" s="434"/>
      <c r="AU38" s="434"/>
      <c r="AV38" s="474"/>
      <c r="AW38" s="362"/>
      <c r="AX38" s="363"/>
      <c r="AY38" s="363"/>
      <c r="AZ38" s="363"/>
      <c r="BA38" s="363"/>
      <c r="BB38" s="363"/>
      <c r="BC38" s="240"/>
      <c r="BD38" s="146">
        <f t="shared" si="1"/>
        <v>0</v>
      </c>
      <c r="BE38" s="356" t="str">
        <f>IF(AW38="","",HLOOKUP(AW38,AssociatedRef!$AP$1:$BZ$123,LOOKUP($CC$2,AssociatedRef!$AP$2:$AP$123,AssociatedRef!$AQ$2:$AQ$123),FALSE))</f>
        <v/>
      </c>
      <c r="BF38" s="356"/>
      <c r="BG38" s="161" t="s">
        <v>361</v>
      </c>
      <c r="BH38" s="149" t="str">
        <f t="shared" si="2"/>
        <v/>
      </c>
      <c r="BI38" s="362"/>
      <c r="BJ38" s="363"/>
      <c r="BK38" s="363"/>
      <c r="BL38" s="363"/>
      <c r="BM38" s="240"/>
      <c r="BN38" s="240"/>
      <c r="BO38" s="240"/>
      <c r="BP38" s="363"/>
      <c r="BQ38" s="363"/>
      <c r="BR38" s="363"/>
      <c r="BS38" s="363"/>
      <c r="BT38" s="369"/>
      <c r="BW38" s="2" t="s">
        <v>54</v>
      </c>
      <c r="BX38" s="171">
        <f>SUM(DotTracking!$T28:$X28,DotTracking!$AR28:$AV28,DotTracking!$BP28:$BT28)</f>
        <v>0</v>
      </c>
      <c r="BY38" s="28">
        <f t="shared" si="4"/>
        <v>0</v>
      </c>
      <c r="CA38" s="2"/>
      <c r="CB38" s="2"/>
    </row>
    <row r="39" spans="1:80" x14ac:dyDescent="0.25">
      <c r="A39" s="393" t="s">
        <v>8</v>
      </c>
      <c r="B39" s="389"/>
      <c r="C39" s="389"/>
      <c r="D39" s="389"/>
      <c r="E39" s="356">
        <f>SUM(I19:L33)</f>
        <v>0</v>
      </c>
      <c r="F39" s="356"/>
      <c r="G39" s="356"/>
      <c r="H39" s="356"/>
      <c r="I39" s="356">
        <f>E39*4</f>
        <v>0</v>
      </c>
      <c r="J39" s="356"/>
      <c r="K39" s="356"/>
      <c r="L39" s="356"/>
      <c r="M39" s="389" t="s">
        <v>67</v>
      </c>
      <c r="N39" s="389"/>
      <c r="O39" s="389"/>
      <c r="P39" s="389"/>
      <c r="Q39" s="356">
        <f>BQ13</f>
        <v>0</v>
      </c>
      <c r="R39" s="356"/>
      <c r="S39" s="356"/>
      <c r="T39" s="356"/>
      <c r="U39" s="356">
        <f>BS13</f>
        <v>0</v>
      </c>
      <c r="V39" s="356"/>
      <c r="W39" s="356"/>
      <c r="X39" s="401"/>
      <c r="Y39" s="657"/>
      <c r="Z39" s="657"/>
      <c r="AA39" s="657"/>
      <c r="AB39" s="657"/>
      <c r="AC39" s="657"/>
      <c r="AD39" s="657"/>
      <c r="AE39" s="657"/>
      <c r="AF39" s="657"/>
      <c r="AG39" s="657"/>
      <c r="AH39" s="657"/>
      <c r="AI39" s="657"/>
      <c r="AJ39" s="657"/>
      <c r="AK39" s="657"/>
      <c r="AL39" s="657"/>
      <c r="AM39" s="657"/>
      <c r="AN39" s="657"/>
      <c r="AO39" s="657"/>
      <c r="AP39" s="657"/>
      <c r="AQ39" s="657"/>
      <c r="AR39" s="657"/>
      <c r="AS39" s="657"/>
      <c r="AT39" s="657"/>
      <c r="AU39" s="657"/>
      <c r="AV39" s="657"/>
      <c r="AW39" s="362"/>
      <c r="AX39" s="363"/>
      <c r="AY39" s="363"/>
      <c r="AZ39" s="363"/>
      <c r="BA39" s="363"/>
      <c r="BB39" s="363"/>
      <c r="BC39" s="240"/>
      <c r="BD39" s="146">
        <f t="shared" si="1"/>
        <v>0</v>
      </c>
      <c r="BE39" s="356" t="str">
        <f>IF(AW39="","",HLOOKUP(AW39,AssociatedRef!$AP$1:$BZ$123,LOOKUP($CC$2,AssociatedRef!$AP$2:$AP$123,AssociatedRef!$AQ$2:$AQ$123),FALSE))</f>
        <v/>
      </c>
      <c r="BF39" s="356"/>
      <c r="BG39" s="161" t="s">
        <v>361</v>
      </c>
      <c r="BH39" s="149" t="str">
        <f t="shared" si="2"/>
        <v/>
      </c>
      <c r="BI39" s="362"/>
      <c r="BJ39" s="363"/>
      <c r="BK39" s="363"/>
      <c r="BL39" s="363"/>
      <c r="BM39" s="240"/>
      <c r="BN39" s="240"/>
      <c r="BO39" s="240"/>
      <c r="BP39" s="363"/>
      <c r="BQ39" s="363"/>
      <c r="BR39" s="363"/>
      <c r="BS39" s="363"/>
      <c r="BT39" s="369"/>
      <c r="BY39" s="28">
        <f t="shared" si="4"/>
        <v>0</v>
      </c>
      <c r="BZ39" s="2"/>
      <c r="CA39" s="2"/>
    </row>
    <row r="40" spans="1:80" x14ac:dyDescent="0.25">
      <c r="A40" s="393" t="s">
        <v>69</v>
      </c>
      <c r="B40" s="389"/>
      <c r="C40" s="389"/>
      <c r="D40" s="389"/>
      <c r="E40" s="356">
        <f>SUM(AF4:AG33)</f>
        <v>0</v>
      </c>
      <c r="F40" s="356"/>
      <c r="G40" s="356"/>
      <c r="H40" s="356"/>
      <c r="I40" s="356">
        <f>SUM(AH4:AI33)</f>
        <v>0</v>
      </c>
      <c r="J40" s="356"/>
      <c r="K40" s="356"/>
      <c r="L40" s="356"/>
      <c r="M40" s="389" t="s">
        <v>453</v>
      </c>
      <c r="N40" s="389"/>
      <c r="O40" s="389"/>
      <c r="P40" s="389"/>
      <c r="Q40" s="356">
        <f>U40/3</f>
        <v>0</v>
      </c>
      <c r="R40" s="356"/>
      <c r="S40" s="356"/>
      <c r="T40" s="356"/>
      <c r="U40" s="356">
        <f>SUM(AT6:AV33)</f>
        <v>0</v>
      </c>
      <c r="V40" s="356"/>
      <c r="W40" s="356"/>
      <c r="X40" s="401"/>
      <c r="Y40" s="657"/>
      <c r="Z40" s="657"/>
      <c r="AA40" s="657"/>
      <c r="AB40" s="657"/>
      <c r="AC40" s="657"/>
      <c r="AD40" s="657"/>
      <c r="AE40" s="657"/>
      <c r="AF40" s="657"/>
      <c r="AG40" s="657"/>
      <c r="AH40" s="657"/>
      <c r="AI40" s="657"/>
      <c r="AJ40" s="657"/>
      <c r="AK40" s="657"/>
      <c r="AL40" s="657"/>
      <c r="AM40" s="657"/>
      <c r="AN40" s="657"/>
      <c r="AO40" s="657"/>
      <c r="AP40" s="657"/>
      <c r="AQ40" s="657"/>
      <c r="AR40" s="657"/>
      <c r="AS40" s="657"/>
      <c r="AT40" s="657"/>
      <c r="AU40" s="657"/>
      <c r="AV40" s="657"/>
      <c r="AW40" s="362"/>
      <c r="AX40" s="363"/>
      <c r="AY40" s="363"/>
      <c r="AZ40" s="363"/>
      <c r="BA40" s="363"/>
      <c r="BB40" s="363"/>
      <c r="BC40" s="240"/>
      <c r="BD40" s="146">
        <f t="shared" si="1"/>
        <v>0</v>
      </c>
      <c r="BE40" s="356" t="str">
        <f>IF(AW40="","",HLOOKUP(AW40,AssociatedRef!$AP$1:$BZ$123,LOOKUP($CC$2,AssociatedRef!$AP$2:$AP$123,AssociatedRef!$AQ$2:$AQ$123),FALSE))</f>
        <v/>
      </c>
      <c r="BF40" s="356"/>
      <c r="BG40" s="161" t="s">
        <v>361</v>
      </c>
      <c r="BH40" s="149" t="str">
        <f t="shared" si="2"/>
        <v/>
      </c>
      <c r="BI40" s="393" t="s">
        <v>28</v>
      </c>
      <c r="BJ40" s="389"/>
      <c r="BK40" s="389"/>
      <c r="BL40" s="389"/>
      <c r="BM40" s="22">
        <f>SUM(BM21:BM28,BM32:BM39)</f>
        <v>0</v>
      </c>
      <c r="BN40" s="734" t="s">
        <v>78</v>
      </c>
      <c r="BO40" s="734" t="s">
        <v>79</v>
      </c>
      <c r="BP40" s="535" t="s">
        <v>1783</v>
      </c>
      <c r="BQ40" s="535"/>
      <c r="BR40" s="535"/>
      <c r="BS40" s="535"/>
      <c r="BT40" s="652"/>
      <c r="BY40" s="28">
        <f t="shared" si="4"/>
        <v>0</v>
      </c>
      <c r="BZ40" s="2"/>
      <c r="CA40" s="2"/>
    </row>
    <row r="41" spans="1:80" x14ac:dyDescent="0.25">
      <c r="A41" s="393" t="s">
        <v>31</v>
      </c>
      <c r="B41" s="389"/>
      <c r="C41" s="389"/>
      <c r="D41" s="389"/>
      <c r="E41" s="356">
        <f>SUM(S30:T33)</f>
        <v>0</v>
      </c>
      <c r="F41" s="356"/>
      <c r="G41" s="356"/>
      <c r="H41" s="356"/>
      <c r="I41" s="356">
        <f>E41*3</f>
        <v>0</v>
      </c>
      <c r="J41" s="356"/>
      <c r="K41" s="356"/>
      <c r="L41" s="356"/>
      <c r="M41" s="389" t="s">
        <v>85</v>
      </c>
      <c r="N41" s="389"/>
      <c r="O41" s="389"/>
      <c r="P41" s="389"/>
      <c r="Q41" s="356">
        <f>SUM(BN21:BO28,BN32:BO39)</f>
        <v>0</v>
      </c>
      <c r="R41" s="356"/>
      <c r="S41" s="356"/>
      <c r="T41" s="356"/>
      <c r="U41" s="356">
        <f>SUM(BN21:BN28,BN32:BN39)+SUM(BO21:BO28,BO32:BO39)*2</f>
        <v>0</v>
      </c>
      <c r="V41" s="356"/>
      <c r="W41" s="356"/>
      <c r="X41" s="401"/>
      <c r="Y41" s="657"/>
      <c r="Z41" s="657"/>
      <c r="AA41" s="657"/>
      <c r="AB41" s="657"/>
      <c r="AC41" s="657"/>
      <c r="AD41" s="657"/>
      <c r="AE41" s="657"/>
      <c r="AF41" s="657"/>
      <c r="AG41" s="657"/>
      <c r="AH41" s="657"/>
      <c r="AI41" s="657"/>
      <c r="AJ41" s="657"/>
      <c r="AK41" s="657"/>
      <c r="AL41" s="657"/>
      <c r="AM41" s="657"/>
      <c r="AN41" s="657"/>
      <c r="AO41" s="657"/>
      <c r="AP41" s="657"/>
      <c r="AQ41" s="657"/>
      <c r="AR41" s="657"/>
      <c r="AS41" s="657"/>
      <c r="AT41" s="657"/>
      <c r="AU41" s="657"/>
      <c r="AV41" s="657"/>
      <c r="AW41" s="362"/>
      <c r="AX41" s="363"/>
      <c r="AY41" s="363"/>
      <c r="AZ41" s="363"/>
      <c r="BA41" s="363"/>
      <c r="BB41" s="363"/>
      <c r="BC41" s="240"/>
      <c r="BD41" s="146">
        <f t="shared" si="1"/>
        <v>0</v>
      </c>
      <c r="BE41" s="356" t="str">
        <f>IF(AW41="","",HLOOKUP(AW41,AssociatedRef!$AP$1:$BZ$123,LOOKUP($CC$2,AssociatedRef!$AP$2:$AP$123,AssociatedRef!$AQ$2:$AQ$123),FALSE))</f>
        <v/>
      </c>
      <c r="BF41" s="356"/>
      <c r="BG41" s="161" t="s">
        <v>361</v>
      </c>
      <c r="BH41" s="149" t="str">
        <f t="shared" si="2"/>
        <v/>
      </c>
      <c r="BI41" s="393" t="s">
        <v>32</v>
      </c>
      <c r="BJ41" s="389"/>
      <c r="BK41" s="389"/>
      <c r="BL41" s="389"/>
      <c r="BM41" s="22">
        <f>5-BM40</f>
        <v>5</v>
      </c>
      <c r="BN41" s="734"/>
      <c r="BO41" s="734"/>
      <c r="BP41" s="535"/>
      <c r="BQ41" s="535"/>
      <c r="BR41" s="535"/>
      <c r="BS41" s="535"/>
      <c r="BT41" s="652"/>
      <c r="BY41" s="28">
        <f t="shared" si="4"/>
        <v>0</v>
      </c>
      <c r="BZ41" s="2"/>
      <c r="CA41" s="2"/>
    </row>
    <row r="42" spans="1:80" x14ac:dyDescent="0.25">
      <c r="A42" s="393" t="s">
        <v>83</v>
      </c>
      <c r="B42" s="389"/>
      <c r="C42" s="389"/>
      <c r="D42" s="389"/>
      <c r="E42" s="356">
        <f>W30</f>
        <v>0</v>
      </c>
      <c r="F42" s="356"/>
      <c r="G42" s="356"/>
      <c r="H42" s="356"/>
      <c r="I42" s="356">
        <f>E42*2</f>
        <v>0</v>
      </c>
      <c r="J42" s="356"/>
      <c r="K42" s="356"/>
      <c r="L42" s="356"/>
      <c r="M42" s="389" t="s">
        <v>68</v>
      </c>
      <c r="N42" s="389"/>
      <c r="O42" s="389"/>
      <c r="P42" s="389"/>
      <c r="Q42" s="356">
        <f>SUM(BY4:BY46)</f>
        <v>0</v>
      </c>
      <c r="R42" s="356"/>
      <c r="S42" s="356"/>
      <c r="T42" s="356"/>
      <c r="U42" s="356">
        <f>SUM(BH4:BH46)</f>
        <v>0</v>
      </c>
      <c r="V42" s="356"/>
      <c r="W42" s="356"/>
      <c r="X42" s="401"/>
      <c r="Y42" s="657"/>
      <c r="Z42" s="657"/>
      <c r="AA42" s="657"/>
      <c r="AB42" s="657"/>
      <c r="AC42" s="657"/>
      <c r="AD42" s="657"/>
      <c r="AE42" s="657"/>
      <c r="AF42" s="657"/>
      <c r="AG42" s="657"/>
      <c r="AH42" s="657"/>
      <c r="AI42" s="657"/>
      <c r="AJ42" s="657"/>
      <c r="AK42" s="657"/>
      <c r="AL42" s="657"/>
      <c r="AM42" s="657"/>
      <c r="AN42" s="657"/>
      <c r="AO42" s="657"/>
      <c r="AP42" s="657"/>
      <c r="AQ42" s="657"/>
      <c r="AR42" s="657"/>
      <c r="AS42" s="657"/>
      <c r="AT42" s="657"/>
      <c r="AU42" s="657"/>
      <c r="AV42" s="657"/>
      <c r="AW42" s="362"/>
      <c r="AX42" s="363"/>
      <c r="AY42" s="363"/>
      <c r="AZ42" s="363"/>
      <c r="BA42" s="363"/>
      <c r="BB42" s="363"/>
      <c r="BC42" s="240"/>
      <c r="BD42" s="146">
        <f t="shared" si="1"/>
        <v>0</v>
      </c>
      <c r="BE42" s="356" t="str">
        <f>IF(AW42="","",HLOOKUP(AW42,AssociatedRef!$AP$1:$BZ$123,LOOKUP($CC$2,AssociatedRef!$AP$2:$AP$123,AssociatedRef!$AQ$2:$AQ$123),FALSE))</f>
        <v/>
      </c>
      <c r="BF42" s="356"/>
      <c r="BG42" s="161" t="s">
        <v>361</v>
      </c>
      <c r="BH42" s="149" t="str">
        <f t="shared" si="2"/>
        <v/>
      </c>
      <c r="BI42" s="393" t="s">
        <v>29</v>
      </c>
      <c r="BJ42" s="389"/>
      <c r="BK42" s="389"/>
      <c r="BL42" s="389"/>
      <c r="BM42" s="22" t="str">
        <f>IF(AND(BM41=0,MAX(BM21:BM28,BM32:BM39)&lt;4),"Yes","No")</f>
        <v>No</v>
      </c>
      <c r="BN42" s="734"/>
      <c r="BO42" s="734"/>
      <c r="BP42" s="535"/>
      <c r="BQ42" s="535"/>
      <c r="BR42" s="535"/>
      <c r="BS42" s="535"/>
      <c r="BT42" s="652"/>
      <c r="BY42" s="28">
        <f t="shared" si="4"/>
        <v>0</v>
      </c>
      <c r="BZ42" s="2"/>
      <c r="CA42" s="2"/>
    </row>
    <row r="43" spans="1:80" x14ac:dyDescent="0.25">
      <c r="A43" s="677"/>
      <c r="B43" s="356"/>
      <c r="C43" s="356"/>
      <c r="D43" s="356"/>
      <c r="E43" s="356"/>
      <c r="F43" s="356"/>
      <c r="G43" s="356"/>
      <c r="H43" s="356"/>
      <c r="I43" s="356"/>
      <c r="J43" s="356"/>
      <c r="K43" s="356"/>
      <c r="L43" s="356"/>
      <c r="M43" s="389" t="s">
        <v>84</v>
      </c>
      <c r="N43" s="389"/>
      <c r="O43" s="389"/>
      <c r="P43" s="389"/>
      <c r="Q43" s="356">
        <f>AU4</f>
        <v>0</v>
      </c>
      <c r="R43" s="356"/>
      <c r="S43" s="356"/>
      <c r="T43" s="356"/>
      <c r="U43" s="356">
        <f>Q43*7</f>
        <v>0</v>
      </c>
      <c r="V43" s="356"/>
      <c r="W43" s="356"/>
      <c r="X43" s="401"/>
      <c r="Y43" s="657"/>
      <c r="Z43" s="657"/>
      <c r="AA43" s="657"/>
      <c r="AB43" s="657"/>
      <c r="AC43" s="657"/>
      <c r="AD43" s="657"/>
      <c r="AE43" s="657"/>
      <c r="AF43" s="657"/>
      <c r="AG43" s="657"/>
      <c r="AH43" s="657"/>
      <c r="AI43" s="657"/>
      <c r="AJ43" s="657"/>
      <c r="AK43" s="657"/>
      <c r="AL43" s="657"/>
      <c r="AM43" s="657"/>
      <c r="AN43" s="657"/>
      <c r="AO43" s="657"/>
      <c r="AP43" s="657"/>
      <c r="AQ43" s="657"/>
      <c r="AR43" s="657"/>
      <c r="AS43" s="657"/>
      <c r="AT43" s="657"/>
      <c r="AU43" s="657"/>
      <c r="AV43" s="657"/>
      <c r="AW43" s="362"/>
      <c r="AX43" s="363"/>
      <c r="AY43" s="363"/>
      <c r="AZ43" s="363"/>
      <c r="BA43" s="363"/>
      <c r="BB43" s="363"/>
      <c r="BC43" s="240"/>
      <c r="BD43" s="146">
        <f t="shared" si="1"/>
        <v>0</v>
      </c>
      <c r="BE43" s="356" t="str">
        <f>IF(AW43="","",HLOOKUP(AW43,AssociatedRef!$AP$1:$BZ$123,LOOKUP($CC$2,AssociatedRef!$AP$2:$AP$123,AssociatedRef!$AQ$2:$AQ$123),FALSE))</f>
        <v/>
      </c>
      <c r="BF43" s="356"/>
      <c r="BG43" s="161" t="s">
        <v>361</v>
      </c>
      <c r="BH43" s="149" t="str">
        <f t="shared" si="2"/>
        <v/>
      </c>
      <c r="BI43" s="677"/>
      <c r="BJ43" s="356"/>
      <c r="BK43" s="356"/>
      <c r="BL43" s="356"/>
      <c r="BM43" s="356"/>
      <c r="BN43" s="734"/>
      <c r="BO43" s="734"/>
      <c r="BP43" s="535"/>
      <c r="BQ43" s="535"/>
      <c r="BR43" s="535"/>
      <c r="BS43" s="535"/>
      <c r="BT43" s="652"/>
      <c r="BY43" s="28">
        <f t="shared" si="4"/>
        <v>0</v>
      </c>
      <c r="BZ43" s="2"/>
      <c r="CA43" s="2"/>
    </row>
    <row r="44" spans="1:80" x14ac:dyDescent="0.25">
      <c r="A44" s="677"/>
      <c r="B44" s="356"/>
      <c r="C44" s="356"/>
      <c r="D44" s="356"/>
      <c r="E44" s="356"/>
      <c r="F44" s="356"/>
      <c r="G44" s="356"/>
      <c r="H44" s="356"/>
      <c r="I44" s="389" t="s">
        <v>86</v>
      </c>
      <c r="J44" s="389"/>
      <c r="K44" s="389"/>
      <c r="L44" s="389"/>
      <c r="M44" s="356">
        <f>SUM(I39:L42,U39:X43)</f>
        <v>0</v>
      </c>
      <c r="N44" s="356"/>
      <c r="O44" s="356"/>
      <c r="P44" s="356"/>
      <c r="Q44" s="356"/>
      <c r="R44" s="356"/>
      <c r="S44" s="356"/>
      <c r="T44" s="356"/>
      <c r="U44" s="356"/>
      <c r="V44" s="356"/>
      <c r="W44" s="356"/>
      <c r="X44" s="401"/>
      <c r="Y44" s="657"/>
      <c r="Z44" s="657"/>
      <c r="AA44" s="657"/>
      <c r="AB44" s="657"/>
      <c r="AC44" s="657"/>
      <c r="AD44" s="657"/>
      <c r="AE44" s="657"/>
      <c r="AF44" s="657"/>
      <c r="AG44" s="657"/>
      <c r="AH44" s="657"/>
      <c r="AI44" s="657"/>
      <c r="AJ44" s="657"/>
      <c r="AK44" s="657"/>
      <c r="AL44" s="657"/>
      <c r="AM44" s="657"/>
      <c r="AN44" s="657"/>
      <c r="AO44" s="657"/>
      <c r="AP44" s="657"/>
      <c r="AQ44" s="657"/>
      <c r="AR44" s="657"/>
      <c r="AS44" s="657"/>
      <c r="AT44" s="657"/>
      <c r="AU44" s="657"/>
      <c r="AV44" s="657"/>
      <c r="AW44" s="362"/>
      <c r="AX44" s="363"/>
      <c r="AY44" s="363"/>
      <c r="AZ44" s="363"/>
      <c r="BA44" s="363"/>
      <c r="BB44" s="363"/>
      <c r="BC44" s="240"/>
      <c r="BD44" s="146">
        <f t="shared" si="1"/>
        <v>0</v>
      </c>
      <c r="BE44" s="356" t="str">
        <f>IF(AW44="","",HLOOKUP(AW44,AssociatedRef!$AP$1:$BZ$123,LOOKUP($CC$2,AssociatedRef!$AP$2:$AP$123,AssociatedRef!$AQ$2:$AQ$123),FALSE))</f>
        <v/>
      </c>
      <c r="BF44" s="356"/>
      <c r="BG44" s="161" t="s">
        <v>361</v>
      </c>
      <c r="BH44" s="149" t="str">
        <f t="shared" si="2"/>
        <v/>
      </c>
      <c r="BI44" s="677"/>
      <c r="BJ44" s="356"/>
      <c r="BK44" s="356"/>
      <c r="BL44" s="356"/>
      <c r="BM44" s="356"/>
      <c r="BN44" s="734"/>
      <c r="BO44" s="734"/>
      <c r="BP44" s="535"/>
      <c r="BQ44" s="535"/>
      <c r="BR44" s="535"/>
      <c r="BS44" s="535"/>
      <c r="BT44" s="652"/>
      <c r="BY44" s="28">
        <f t="shared" si="4"/>
        <v>0</v>
      </c>
      <c r="BZ44" s="2"/>
      <c r="CA44" s="2"/>
    </row>
    <row r="45" spans="1:80" x14ac:dyDescent="0.25">
      <c r="A45" s="677"/>
      <c r="B45" s="356"/>
      <c r="C45" s="356"/>
      <c r="D45" s="356"/>
      <c r="E45" s="356"/>
      <c r="F45" s="356"/>
      <c r="G45" s="356"/>
      <c r="H45" s="356"/>
      <c r="I45" s="389" t="s">
        <v>32</v>
      </c>
      <c r="J45" s="389"/>
      <c r="K45" s="389"/>
      <c r="L45" s="389"/>
      <c r="M45" s="356">
        <f>15-M44</f>
        <v>15</v>
      </c>
      <c r="N45" s="356"/>
      <c r="O45" s="356"/>
      <c r="P45" s="356"/>
      <c r="Q45" s="356"/>
      <c r="R45" s="356"/>
      <c r="S45" s="356"/>
      <c r="T45" s="356"/>
      <c r="U45" s="356"/>
      <c r="V45" s="356"/>
      <c r="W45" s="356"/>
      <c r="X45" s="401"/>
      <c r="Y45" s="657"/>
      <c r="Z45" s="657"/>
      <c r="AA45" s="657"/>
      <c r="AB45" s="657"/>
      <c r="AC45" s="657"/>
      <c r="AD45" s="657"/>
      <c r="AE45" s="657"/>
      <c r="AF45" s="657"/>
      <c r="AG45" s="657"/>
      <c r="AH45" s="657"/>
      <c r="AI45" s="657"/>
      <c r="AJ45" s="657"/>
      <c r="AK45" s="657"/>
      <c r="AL45" s="657"/>
      <c r="AM45" s="657"/>
      <c r="AN45" s="657"/>
      <c r="AO45" s="657"/>
      <c r="AP45" s="657"/>
      <c r="AQ45" s="657"/>
      <c r="AR45" s="657"/>
      <c r="AS45" s="657"/>
      <c r="AT45" s="657"/>
      <c r="AU45" s="657"/>
      <c r="AV45" s="657"/>
      <c r="AW45" s="362"/>
      <c r="AX45" s="363"/>
      <c r="AY45" s="363"/>
      <c r="AZ45" s="363"/>
      <c r="BA45" s="363"/>
      <c r="BB45" s="363"/>
      <c r="BC45" s="240"/>
      <c r="BD45" s="146">
        <f t="shared" si="1"/>
        <v>0</v>
      </c>
      <c r="BE45" s="356" t="str">
        <f>IF(AW45="","",HLOOKUP(AW45,AssociatedRef!$AP$1:$BZ$123,LOOKUP($CC$2,AssociatedRef!$AP$2:$AP$123,AssociatedRef!$AQ$2:$AQ$123),FALSE))</f>
        <v/>
      </c>
      <c r="BF45" s="356"/>
      <c r="BG45" s="161" t="s">
        <v>361</v>
      </c>
      <c r="BH45" s="149" t="str">
        <f t="shared" si="2"/>
        <v/>
      </c>
      <c r="BI45" s="677"/>
      <c r="BJ45" s="356"/>
      <c r="BK45" s="356"/>
      <c r="BL45" s="356"/>
      <c r="BM45" s="356"/>
      <c r="BN45" s="734"/>
      <c r="BO45" s="734"/>
      <c r="BP45" s="535"/>
      <c r="BQ45" s="535"/>
      <c r="BR45" s="535"/>
      <c r="BS45" s="535"/>
      <c r="BT45" s="652"/>
      <c r="BY45" s="28">
        <f t="shared" si="4"/>
        <v>0</v>
      </c>
      <c r="BZ45" s="2"/>
      <c r="CA45" s="2"/>
    </row>
    <row r="46" spans="1:80" ht="15.75" thickBot="1" x14ac:dyDescent="0.3">
      <c r="A46" s="679"/>
      <c r="B46" s="434"/>
      <c r="C46" s="434"/>
      <c r="D46" s="434"/>
      <c r="E46" s="434"/>
      <c r="F46" s="434"/>
      <c r="G46" s="434"/>
      <c r="H46" s="434"/>
      <c r="I46" s="395" t="s">
        <v>29</v>
      </c>
      <c r="J46" s="395"/>
      <c r="K46" s="395"/>
      <c r="L46" s="395"/>
      <c r="M46" s="434" t="str">
        <f>IF(M45=0,"Yes","No")</f>
        <v>No</v>
      </c>
      <c r="N46" s="434"/>
      <c r="O46" s="434"/>
      <c r="P46" s="434"/>
      <c r="Q46" s="434"/>
      <c r="R46" s="434"/>
      <c r="S46" s="434"/>
      <c r="T46" s="434"/>
      <c r="U46" s="434"/>
      <c r="V46" s="434"/>
      <c r="W46" s="434"/>
      <c r="X46" s="474"/>
      <c r="Y46" s="733"/>
      <c r="Z46" s="733"/>
      <c r="AA46" s="733"/>
      <c r="AB46" s="733"/>
      <c r="AC46" s="733"/>
      <c r="AD46" s="733"/>
      <c r="AE46" s="733"/>
      <c r="AF46" s="733"/>
      <c r="AG46" s="733"/>
      <c r="AH46" s="733"/>
      <c r="AI46" s="733"/>
      <c r="AJ46" s="733"/>
      <c r="AK46" s="733"/>
      <c r="AL46" s="733"/>
      <c r="AM46" s="733"/>
      <c r="AN46" s="733"/>
      <c r="AO46" s="733"/>
      <c r="AP46" s="733"/>
      <c r="AQ46" s="733"/>
      <c r="AR46" s="733"/>
      <c r="AS46" s="733"/>
      <c r="AT46" s="733"/>
      <c r="AU46" s="733"/>
      <c r="AV46" s="733"/>
      <c r="AW46" s="368"/>
      <c r="AX46" s="366"/>
      <c r="AY46" s="366"/>
      <c r="AZ46" s="366"/>
      <c r="BA46" s="366"/>
      <c r="BB46" s="366"/>
      <c r="BC46" s="243"/>
      <c r="BD46" s="150">
        <f t="shared" si="1"/>
        <v>0</v>
      </c>
      <c r="BE46" s="434" t="str">
        <f>IF(AW46="","",HLOOKUP(AW46,AssociatedRef!$AP$1:$BZ$123,LOOKUP($CC$2,AssociatedRef!$AP$2:$AP$123,AssociatedRef!$AQ$2:$AQ$123),FALSE))</f>
        <v/>
      </c>
      <c r="BF46" s="434"/>
      <c r="BG46" s="159" t="s">
        <v>361</v>
      </c>
      <c r="BH46" s="160" t="str">
        <f t="shared" si="2"/>
        <v/>
      </c>
      <c r="BI46" s="679"/>
      <c r="BJ46" s="434"/>
      <c r="BK46" s="434"/>
      <c r="BL46" s="434"/>
      <c r="BM46" s="434"/>
      <c r="BN46" s="735"/>
      <c r="BO46" s="735"/>
      <c r="BP46" s="538"/>
      <c r="BQ46" s="538"/>
      <c r="BR46" s="538"/>
      <c r="BS46" s="538"/>
      <c r="BT46" s="736"/>
      <c r="BY46" s="28">
        <f t="shared" si="4"/>
        <v>0</v>
      </c>
      <c r="BZ46" s="2"/>
      <c r="CA46" s="2"/>
    </row>
    <row r="47" spans="1:80" x14ac:dyDescent="0.25">
      <c r="BZ47" s="2"/>
      <c r="CA47" s="2"/>
    </row>
    <row r="48" spans="1:80" x14ac:dyDescent="0.25">
      <c r="BZ48" s="2"/>
      <c r="CA48" s="2"/>
    </row>
    <row r="49" spans="15:79" x14ac:dyDescent="0.25">
      <c r="BZ49" s="2"/>
      <c r="CA49" s="2"/>
    </row>
    <row r="50" spans="15:79" x14ac:dyDescent="0.25">
      <c r="BZ50" s="2"/>
      <c r="CA50" s="2"/>
    </row>
    <row r="51" spans="15:79" x14ac:dyDescent="0.25">
      <c r="BZ51" s="2"/>
      <c r="CA51" s="2"/>
    </row>
    <row r="52" spans="15:79" x14ac:dyDescent="0.25">
      <c r="BZ52" s="2"/>
      <c r="CA52" s="2"/>
    </row>
    <row r="53" spans="15:79" x14ac:dyDescent="0.25">
      <c r="BZ53" s="2"/>
      <c r="CA53" s="2"/>
    </row>
    <row r="54" spans="15:79" x14ac:dyDescent="0.25">
      <c r="BY54" s="2"/>
      <c r="BZ54" s="2"/>
    </row>
    <row r="55" spans="15:79" x14ac:dyDescent="0.25">
      <c r="BY55" s="2"/>
      <c r="BZ55" s="2"/>
    </row>
    <row r="56" spans="15:79" x14ac:dyDescent="0.25">
      <c r="BY56" s="2"/>
      <c r="BZ56" s="2"/>
    </row>
    <row r="57" spans="15:79" x14ac:dyDescent="0.25">
      <c r="O57" s="2"/>
      <c r="BY57" s="2"/>
      <c r="BZ57" s="2"/>
    </row>
    <row r="58" spans="15:79" x14ac:dyDescent="0.25">
      <c r="O58" s="2"/>
      <c r="BY58" s="2"/>
      <c r="BZ58" s="2"/>
    </row>
    <row r="59" spans="15:79" x14ac:dyDescent="0.25">
      <c r="BY59" s="2"/>
      <c r="BZ59" s="2"/>
    </row>
    <row r="60" spans="15:79" x14ac:dyDescent="0.25">
      <c r="BY60" s="2"/>
      <c r="BZ60" s="2"/>
    </row>
    <row r="61" spans="15:79" x14ac:dyDescent="0.25">
      <c r="BY61" s="2"/>
      <c r="BZ61" s="2"/>
    </row>
    <row r="62" spans="15:79" x14ac:dyDescent="0.25">
      <c r="BY62" s="2"/>
      <c r="BZ62" s="2"/>
    </row>
    <row r="63" spans="15:79" x14ac:dyDescent="0.25">
      <c r="BY63" s="2"/>
      <c r="BZ63" s="2"/>
    </row>
    <row r="64" spans="15:79" x14ac:dyDescent="0.25">
      <c r="BY64" s="2"/>
      <c r="BZ64" s="2"/>
    </row>
    <row r="65" spans="76:82" x14ac:dyDescent="0.25">
      <c r="BY65" s="2"/>
      <c r="BZ65" s="2"/>
    </row>
    <row r="66" spans="76:82" x14ac:dyDescent="0.25">
      <c r="BY66" s="2"/>
      <c r="BZ66" s="2"/>
    </row>
    <row r="67" spans="76:82" x14ac:dyDescent="0.25">
      <c r="BX67" s="2"/>
      <c r="BY67" s="2"/>
    </row>
    <row r="68" spans="76:82" x14ac:dyDescent="0.25">
      <c r="BX68" s="2"/>
      <c r="BY68" s="2"/>
    </row>
    <row r="69" spans="76:82" x14ac:dyDescent="0.25">
      <c r="BX69" s="2"/>
      <c r="BY69" s="2"/>
    </row>
    <row r="70" spans="76:82" x14ac:dyDescent="0.25">
      <c r="BX70" s="2"/>
      <c r="BY70" s="2"/>
    </row>
    <row r="71" spans="76:82" x14ac:dyDescent="0.25">
      <c r="BX71" s="2"/>
      <c r="BY71" s="2"/>
    </row>
    <row r="72" spans="76:82" x14ac:dyDescent="0.25">
      <c r="BX72" s="2"/>
      <c r="BY72" s="2"/>
    </row>
    <row r="73" spans="76:82" x14ac:dyDescent="0.25">
      <c r="BX73" s="2"/>
      <c r="BY73" s="2"/>
    </row>
    <row r="74" spans="76:82" x14ac:dyDescent="0.25">
      <c r="BX74" s="2"/>
      <c r="BY74" s="2"/>
    </row>
    <row r="75" spans="76:82" x14ac:dyDescent="0.25">
      <c r="BX75" s="2"/>
      <c r="BY75" s="2"/>
    </row>
    <row r="76" spans="76:82" x14ac:dyDescent="0.25">
      <c r="CC76" s="2"/>
      <c r="CD76" s="2"/>
    </row>
    <row r="77" spans="76:82" x14ac:dyDescent="0.25">
      <c r="CC77" s="2"/>
      <c r="CD77" s="2"/>
    </row>
    <row r="78" spans="76:82" x14ac:dyDescent="0.25">
      <c r="CC78" s="2"/>
      <c r="CD78" s="2"/>
    </row>
    <row r="79" spans="76:82" x14ac:dyDescent="0.25">
      <c r="CC79" s="2"/>
      <c r="CD79" s="2"/>
    </row>
    <row r="80" spans="76:82" x14ac:dyDescent="0.25">
      <c r="CC80" s="2"/>
      <c r="CD80" s="2"/>
    </row>
    <row r="81" spans="81:82" x14ac:dyDescent="0.25">
      <c r="CC81" s="2"/>
      <c r="CD81" s="2"/>
    </row>
    <row r="82" spans="81:82" x14ac:dyDescent="0.25">
      <c r="CC82" s="2"/>
      <c r="CD82" s="2"/>
    </row>
    <row r="83" spans="81:82" x14ac:dyDescent="0.25">
      <c r="CC83" s="2"/>
      <c r="CD83" s="2"/>
    </row>
    <row r="84" spans="81:82" x14ac:dyDescent="0.25">
      <c r="CC84" s="2"/>
      <c r="CD84" s="2"/>
    </row>
    <row r="85" spans="81:82" x14ac:dyDescent="0.25">
      <c r="CC85" s="2"/>
      <c r="CD85" s="2"/>
    </row>
    <row r="86" spans="81:82" x14ac:dyDescent="0.25">
      <c r="CC86" s="2"/>
      <c r="CD86" s="2"/>
    </row>
    <row r="87" spans="81:82" x14ac:dyDescent="0.25">
      <c r="CC87" s="2"/>
      <c r="CD87" s="2"/>
    </row>
    <row r="88" spans="81:82" x14ac:dyDescent="0.25">
      <c r="CC88" s="2"/>
      <c r="CD88" s="2"/>
    </row>
    <row r="89" spans="81:82" x14ac:dyDescent="0.25">
      <c r="CC89" s="2"/>
      <c r="CD89" s="2"/>
    </row>
    <row r="90" spans="81:82" x14ac:dyDescent="0.25">
      <c r="CC90" s="2"/>
      <c r="CD90" s="2"/>
    </row>
    <row r="91" spans="81:82" x14ac:dyDescent="0.25">
      <c r="CC91" s="2"/>
      <c r="CD91" s="2"/>
    </row>
    <row r="92" spans="81:82" x14ac:dyDescent="0.25">
      <c r="CC92" s="2"/>
      <c r="CD92" s="2"/>
    </row>
    <row r="93" spans="81:82" x14ac:dyDescent="0.25">
      <c r="CC93" s="2"/>
      <c r="CD93" s="2"/>
    </row>
    <row r="94" spans="81:82" x14ac:dyDescent="0.25">
      <c r="CC94" s="2"/>
      <c r="CD94" s="2"/>
    </row>
    <row r="95" spans="81:82" x14ac:dyDescent="0.25">
      <c r="CC95" s="2"/>
      <c r="CD95" s="2"/>
    </row>
    <row r="96" spans="81:82" x14ac:dyDescent="0.25">
      <c r="CC96" s="2"/>
      <c r="CD96" s="2"/>
    </row>
    <row r="97" spans="81:82" x14ac:dyDescent="0.25">
      <c r="CC97" s="2"/>
      <c r="CD97" s="2"/>
    </row>
    <row r="98" spans="81:82" x14ac:dyDescent="0.25">
      <c r="CC98" s="2"/>
      <c r="CD98" s="2"/>
    </row>
    <row r="99" spans="81:82" x14ac:dyDescent="0.25">
      <c r="CC99" s="2"/>
      <c r="CD99" s="2"/>
    </row>
    <row r="100" spans="81:82" x14ac:dyDescent="0.25">
      <c r="CC100" s="2"/>
      <c r="CD100" s="2"/>
    </row>
    <row r="101" spans="81:82" x14ac:dyDescent="0.25">
      <c r="CC101" s="2"/>
      <c r="CD101" s="2"/>
    </row>
    <row r="102" spans="81:82" x14ac:dyDescent="0.25">
      <c r="CC102" s="2"/>
      <c r="CD102" s="2"/>
    </row>
    <row r="103" spans="81:82" x14ac:dyDescent="0.25">
      <c r="CC103" s="2"/>
      <c r="CD103" s="2"/>
    </row>
    <row r="104" spans="81:82" x14ac:dyDescent="0.25">
      <c r="CC104" s="2"/>
      <c r="CD104" s="2"/>
    </row>
    <row r="105" spans="81:82" x14ac:dyDescent="0.25">
      <c r="CC105" s="2"/>
      <c r="CD105" s="2"/>
    </row>
    <row r="106" spans="81:82" x14ac:dyDescent="0.25">
      <c r="CC106" s="2"/>
      <c r="CD106" s="2"/>
    </row>
    <row r="107" spans="81:82" x14ac:dyDescent="0.25">
      <c r="CC107" s="2"/>
      <c r="CD107" s="2"/>
    </row>
    <row r="108" spans="81:82" x14ac:dyDescent="0.25">
      <c r="CC108" s="2"/>
      <c r="CD108" s="2"/>
    </row>
    <row r="109" spans="81:82" x14ac:dyDescent="0.25">
      <c r="CC109" s="2"/>
      <c r="CD109" s="2"/>
    </row>
    <row r="110" spans="81:82" x14ac:dyDescent="0.25">
      <c r="CC110" s="2"/>
      <c r="CD110" s="2"/>
    </row>
    <row r="111" spans="81:82" x14ac:dyDescent="0.25">
      <c r="CC111" s="2"/>
      <c r="CD111" s="2"/>
    </row>
    <row r="112" spans="81:82" x14ac:dyDescent="0.25">
      <c r="CC112" s="2"/>
      <c r="CD112" s="2"/>
    </row>
    <row r="113" spans="81:82" x14ac:dyDescent="0.25">
      <c r="CC113" s="2"/>
      <c r="CD113" s="2"/>
    </row>
    <row r="114" spans="81:82" x14ac:dyDescent="0.25">
      <c r="CC114" s="2"/>
      <c r="CD114" s="2"/>
    </row>
    <row r="115" spans="81:82" x14ac:dyDescent="0.25">
      <c r="CC115" s="2"/>
      <c r="CD115" s="2"/>
    </row>
    <row r="116" spans="81:82" x14ac:dyDescent="0.25">
      <c r="CC116" s="2"/>
      <c r="CD116" s="2"/>
    </row>
    <row r="117" spans="81:82" x14ac:dyDescent="0.25">
      <c r="CC117" s="2"/>
      <c r="CD117" s="2"/>
    </row>
    <row r="118" spans="81:82" x14ac:dyDescent="0.25">
      <c r="CC118" s="2"/>
      <c r="CD118" s="2"/>
    </row>
    <row r="119" spans="81:82" x14ac:dyDescent="0.25">
      <c r="CC119" s="2"/>
      <c r="CD119" s="2"/>
    </row>
    <row r="120" spans="81:82" x14ac:dyDescent="0.25">
      <c r="CC120" s="2"/>
      <c r="CD120" s="2"/>
    </row>
    <row r="121" spans="81:82" x14ac:dyDescent="0.25">
      <c r="CC121" s="2"/>
      <c r="CD121" s="2"/>
    </row>
    <row r="122" spans="81:82" x14ac:dyDescent="0.25">
      <c r="CC122" s="2"/>
      <c r="CD122" s="2"/>
    </row>
  </sheetData>
  <sheetProtection password="E9C2" sheet="1" objects="1" scenarios="1" selectLockedCells="1"/>
  <sortState ref="BY1:BY122">
    <sortCondition ref="BY1"/>
  </sortState>
  <mergeCells count="604">
    <mergeCell ref="A1:D1"/>
    <mergeCell ref="A2:D2"/>
    <mergeCell ref="E1:H1"/>
    <mergeCell ref="E2:H2"/>
    <mergeCell ref="E19:F19"/>
    <mergeCell ref="G19:H19"/>
    <mergeCell ref="E20:F20"/>
    <mergeCell ref="G20:H20"/>
    <mergeCell ref="A14:X15"/>
    <mergeCell ref="A3:X11"/>
    <mergeCell ref="O13:R13"/>
    <mergeCell ref="U18:X18"/>
    <mergeCell ref="I1:L2"/>
    <mergeCell ref="M1:X2"/>
    <mergeCell ref="AW28:BB28"/>
    <mergeCell ref="AT32:AV32"/>
    <mergeCell ref="AJ33:AM33"/>
    <mergeCell ref="AN33:AS33"/>
    <mergeCell ref="AT33:AV33"/>
    <mergeCell ref="AF33:AG33"/>
    <mergeCell ref="AH33:AI33"/>
    <mergeCell ref="BE36:BF36"/>
    <mergeCell ref="A43:H46"/>
    <mergeCell ref="I44:L44"/>
    <mergeCell ref="M44:P44"/>
    <mergeCell ref="Q44:X46"/>
    <mergeCell ref="I43:L43"/>
    <mergeCell ref="M43:P43"/>
    <mergeCell ref="Q43:T43"/>
    <mergeCell ref="U41:X41"/>
    <mergeCell ref="E39:H39"/>
    <mergeCell ref="BE42:BF42"/>
    <mergeCell ref="I39:L39"/>
    <mergeCell ref="A38:D38"/>
    <mergeCell ref="E38:H38"/>
    <mergeCell ref="I38:L38"/>
    <mergeCell ref="M38:P38"/>
    <mergeCell ref="Q38:T38"/>
    <mergeCell ref="BI34:BL34"/>
    <mergeCell ref="CC2:CF2"/>
    <mergeCell ref="A12:D12"/>
    <mergeCell ref="O12:R12"/>
    <mergeCell ref="BY1:CB1"/>
    <mergeCell ref="CC1:CF1"/>
    <mergeCell ref="A13:D13"/>
    <mergeCell ref="E27:F27"/>
    <mergeCell ref="G27:H27"/>
    <mergeCell ref="U31:X35"/>
    <mergeCell ref="S31:T31"/>
    <mergeCell ref="BE34:BF34"/>
    <mergeCell ref="AN31:AS31"/>
    <mergeCell ref="A35:D35"/>
    <mergeCell ref="E35:H35"/>
    <mergeCell ref="M34:T35"/>
    <mergeCell ref="I34:L35"/>
    <mergeCell ref="AF32:AG32"/>
    <mergeCell ref="AH32:AI32"/>
    <mergeCell ref="AJ32:AM32"/>
    <mergeCell ref="AN32:AS32"/>
    <mergeCell ref="Y34:AE35"/>
    <mergeCell ref="AN29:AS29"/>
    <mergeCell ref="BE28:BF28"/>
    <mergeCell ref="U43:X43"/>
    <mergeCell ref="I46:L46"/>
    <mergeCell ref="M46:P46"/>
    <mergeCell ref="I45:L45"/>
    <mergeCell ref="M45:P45"/>
    <mergeCell ref="A30:L30"/>
    <mergeCell ref="M16:X17"/>
    <mergeCell ref="A29:D29"/>
    <mergeCell ref="E29:H29"/>
    <mergeCell ref="A27:D27"/>
    <mergeCell ref="I27:L27"/>
    <mergeCell ref="I28:L29"/>
    <mergeCell ref="A42:D42"/>
    <mergeCell ref="E42:H42"/>
    <mergeCell ref="I42:L42"/>
    <mergeCell ref="M42:P42"/>
    <mergeCell ref="Q42:T42"/>
    <mergeCell ref="A41:D41"/>
    <mergeCell ref="E41:H41"/>
    <mergeCell ref="I41:L41"/>
    <mergeCell ref="M41:P41"/>
    <mergeCell ref="Q41:T41"/>
    <mergeCell ref="U42:X42"/>
    <mergeCell ref="E40:H40"/>
    <mergeCell ref="BI41:BL41"/>
    <mergeCell ref="BE45:BF45"/>
    <mergeCell ref="AW46:BB46"/>
    <mergeCell ref="BE46:BF46"/>
    <mergeCell ref="AW42:BB42"/>
    <mergeCell ref="BI42:BL42"/>
    <mergeCell ref="BI36:BL36"/>
    <mergeCell ref="BI35:BL35"/>
    <mergeCell ref="BP38:BT38"/>
    <mergeCell ref="AW39:BB39"/>
    <mergeCell ref="BE39:BF39"/>
    <mergeCell ref="AW37:BB37"/>
    <mergeCell ref="BP37:BT37"/>
    <mergeCell ref="BE37:BF37"/>
    <mergeCell ref="BI37:BL37"/>
    <mergeCell ref="BP35:BT35"/>
    <mergeCell ref="AW35:BB35"/>
    <mergeCell ref="BE35:BF35"/>
    <mergeCell ref="AW36:BB36"/>
    <mergeCell ref="BP36:BT36"/>
    <mergeCell ref="I40:L40"/>
    <mergeCell ref="M40:P40"/>
    <mergeCell ref="Q40:T40"/>
    <mergeCell ref="A36:X37"/>
    <mergeCell ref="A40:D40"/>
    <mergeCell ref="A39:D39"/>
    <mergeCell ref="M39:P39"/>
    <mergeCell ref="Q39:T39"/>
    <mergeCell ref="U39:X39"/>
    <mergeCell ref="U38:X38"/>
    <mergeCell ref="U40:X40"/>
    <mergeCell ref="Y38:AE38"/>
    <mergeCell ref="AF38:AV38"/>
    <mergeCell ref="Y39:AV46"/>
    <mergeCell ref="Y36:AE37"/>
    <mergeCell ref="AF36:AV37"/>
    <mergeCell ref="BO40:BO46"/>
    <mergeCell ref="BP40:BT46"/>
    <mergeCell ref="BP39:BT39"/>
    <mergeCell ref="BN40:BN46"/>
    <mergeCell ref="AW40:BB40"/>
    <mergeCell ref="BE40:BF40"/>
    <mergeCell ref="BI40:BL40"/>
    <mergeCell ref="BI39:BL39"/>
    <mergeCell ref="AW38:BB38"/>
    <mergeCell ref="BE38:BF38"/>
    <mergeCell ref="BI38:BL38"/>
    <mergeCell ref="AW43:BB43"/>
    <mergeCell ref="BE43:BF43"/>
    <mergeCell ref="BI43:BM46"/>
    <mergeCell ref="AW44:BB44"/>
    <mergeCell ref="BE44:BF44"/>
    <mergeCell ref="AW45:BB45"/>
    <mergeCell ref="AW41:BB41"/>
    <mergeCell ref="BE41:BF41"/>
    <mergeCell ref="AJ29:AM29"/>
    <mergeCell ref="A34:D34"/>
    <mergeCell ref="E34:H34"/>
    <mergeCell ref="AW34:BB34"/>
    <mergeCell ref="Y33:AB33"/>
    <mergeCell ref="E33:F33"/>
    <mergeCell ref="G33:H33"/>
    <mergeCell ref="E31:F31"/>
    <mergeCell ref="G31:H31"/>
    <mergeCell ref="E32:F32"/>
    <mergeCell ref="G32:H32"/>
    <mergeCell ref="AT31:AV31"/>
    <mergeCell ref="AW31:BB31"/>
    <mergeCell ref="AF34:AV35"/>
    <mergeCell ref="AJ30:AM30"/>
    <mergeCell ref="M27:T28"/>
    <mergeCell ref="Y32:AB32"/>
    <mergeCell ref="AC32:AE32"/>
    <mergeCell ref="AC33:AE33"/>
    <mergeCell ref="AJ31:AM31"/>
    <mergeCell ref="AW29:BB29"/>
    <mergeCell ref="AF27:AG27"/>
    <mergeCell ref="AH27:AI27"/>
    <mergeCell ref="AH28:AI28"/>
    <mergeCell ref="M30:P30"/>
    <mergeCell ref="Q30:R30"/>
    <mergeCell ref="S30:T30"/>
    <mergeCell ref="AJ28:AM28"/>
    <mergeCell ref="AT28:AV28"/>
    <mergeCell ref="AN28:AS28"/>
    <mergeCell ref="M29:P29"/>
    <mergeCell ref="U30:V30"/>
    <mergeCell ref="W30:X30"/>
    <mergeCell ref="AN30:AS30"/>
    <mergeCell ref="AT30:AV30"/>
    <mergeCell ref="Y27:AB27"/>
    <mergeCell ref="AC27:AE27"/>
    <mergeCell ref="U29:V29"/>
    <mergeCell ref="W29:X29"/>
    <mergeCell ref="BN31:BO31"/>
    <mergeCell ref="AW30:BB30"/>
    <mergeCell ref="BE29:BF29"/>
    <mergeCell ref="BE32:BF32"/>
    <mergeCell ref="BI32:BL32"/>
    <mergeCell ref="BE31:BF31"/>
    <mergeCell ref="A31:D31"/>
    <mergeCell ref="I31:L31"/>
    <mergeCell ref="M31:P31"/>
    <mergeCell ref="Q31:R31"/>
    <mergeCell ref="AH31:AI31"/>
    <mergeCell ref="Y29:AB29"/>
    <mergeCell ref="AC29:AE29"/>
    <mergeCell ref="AF29:AG29"/>
    <mergeCell ref="AH29:AI29"/>
    <mergeCell ref="Y30:AB30"/>
    <mergeCell ref="AH30:AI30"/>
    <mergeCell ref="AC30:AE30"/>
    <mergeCell ref="AF30:AG30"/>
    <mergeCell ref="Y31:AB31"/>
    <mergeCell ref="AC31:AE31"/>
    <mergeCell ref="AF31:AG31"/>
    <mergeCell ref="Q29:R29"/>
    <mergeCell ref="S29:T29"/>
    <mergeCell ref="BI28:BL28"/>
    <mergeCell ref="AW27:BB27"/>
    <mergeCell ref="BP34:BT34"/>
    <mergeCell ref="BE27:BF27"/>
    <mergeCell ref="BI27:BL27"/>
    <mergeCell ref="BP27:BT27"/>
    <mergeCell ref="AJ27:AM27"/>
    <mergeCell ref="AN27:AS27"/>
    <mergeCell ref="AN26:AS26"/>
    <mergeCell ref="AT26:AV26"/>
    <mergeCell ref="AW26:BB26"/>
    <mergeCell ref="BE26:BF26"/>
    <mergeCell ref="BI26:BL26"/>
    <mergeCell ref="AJ26:AM26"/>
    <mergeCell ref="BE30:BF30"/>
    <mergeCell ref="BI29:BT30"/>
    <mergeCell ref="BP32:BT32"/>
    <mergeCell ref="BI31:BL31"/>
    <mergeCell ref="BP31:BT31"/>
    <mergeCell ref="AW32:BB32"/>
    <mergeCell ref="BI33:BL33"/>
    <mergeCell ref="BP33:BT33"/>
    <mergeCell ref="AW33:BB33"/>
    <mergeCell ref="BE33:BF33"/>
    <mergeCell ref="AW25:BB25"/>
    <mergeCell ref="BE25:BF25"/>
    <mergeCell ref="BI25:BL25"/>
    <mergeCell ref="BP25:BT25"/>
    <mergeCell ref="AN25:AS25"/>
    <mergeCell ref="A33:D33"/>
    <mergeCell ref="I33:L33"/>
    <mergeCell ref="M33:P33"/>
    <mergeCell ref="Q33:R33"/>
    <mergeCell ref="Y25:AB25"/>
    <mergeCell ref="AC25:AE25"/>
    <mergeCell ref="AF25:AG25"/>
    <mergeCell ref="AH25:AI25"/>
    <mergeCell ref="AJ25:AM25"/>
    <mergeCell ref="A32:D32"/>
    <mergeCell ref="I32:L32"/>
    <mergeCell ref="M32:P32"/>
    <mergeCell ref="Q32:R32"/>
    <mergeCell ref="S32:T32"/>
    <mergeCell ref="BP26:BT26"/>
    <mergeCell ref="S33:T33"/>
    <mergeCell ref="AT25:AV25"/>
    <mergeCell ref="AT27:AV27"/>
    <mergeCell ref="BP28:BT28"/>
    <mergeCell ref="BP24:BT24"/>
    <mergeCell ref="AH24:AI24"/>
    <mergeCell ref="AJ24:AM24"/>
    <mergeCell ref="BP22:BT22"/>
    <mergeCell ref="BP23:BT23"/>
    <mergeCell ref="AN23:AS23"/>
    <mergeCell ref="AT24:AV24"/>
    <mergeCell ref="AW24:BB24"/>
    <mergeCell ref="BE24:BF24"/>
    <mergeCell ref="BI24:BL24"/>
    <mergeCell ref="AT22:AV22"/>
    <mergeCell ref="AT23:AV23"/>
    <mergeCell ref="AW23:BB23"/>
    <mergeCell ref="BE23:BF23"/>
    <mergeCell ref="BI23:BL23"/>
    <mergeCell ref="AW22:BB22"/>
    <mergeCell ref="BE22:BF22"/>
    <mergeCell ref="BI22:BL22"/>
    <mergeCell ref="A28:D28"/>
    <mergeCell ref="E28:H28"/>
    <mergeCell ref="Y21:AB21"/>
    <mergeCell ref="AC21:AE21"/>
    <mergeCell ref="AC20:AE20"/>
    <mergeCell ref="AF20:AG20"/>
    <mergeCell ref="AH20:AI20"/>
    <mergeCell ref="AJ20:AM20"/>
    <mergeCell ref="AN20:AS20"/>
    <mergeCell ref="AJ21:AM21"/>
    <mergeCell ref="AN21:AS21"/>
    <mergeCell ref="Y24:AB24"/>
    <mergeCell ref="AC24:AE24"/>
    <mergeCell ref="AF24:AG24"/>
    <mergeCell ref="AC22:AE22"/>
    <mergeCell ref="AF22:AG22"/>
    <mergeCell ref="AH22:AI22"/>
    <mergeCell ref="A24:L24"/>
    <mergeCell ref="A26:D26"/>
    <mergeCell ref="I26:L26"/>
    <mergeCell ref="E25:F25"/>
    <mergeCell ref="G25:H25"/>
    <mergeCell ref="A25:D25"/>
    <mergeCell ref="I25:L25"/>
    <mergeCell ref="E26:F26"/>
    <mergeCell ref="G26:H26"/>
    <mergeCell ref="E22:H22"/>
    <mergeCell ref="M22:P22"/>
    <mergeCell ref="Q22:T22"/>
    <mergeCell ref="A23:D23"/>
    <mergeCell ref="E23:H23"/>
    <mergeCell ref="A22:D22"/>
    <mergeCell ref="AN24:AS24"/>
    <mergeCell ref="AN22:AS22"/>
    <mergeCell ref="Y23:AB23"/>
    <mergeCell ref="AH26:AI26"/>
    <mergeCell ref="U24:X24"/>
    <mergeCell ref="M24:P24"/>
    <mergeCell ref="Q24:T24"/>
    <mergeCell ref="AH23:AI23"/>
    <mergeCell ref="AJ23:AM23"/>
    <mergeCell ref="AF26:AG26"/>
    <mergeCell ref="Y26:AB26"/>
    <mergeCell ref="AC26:AE26"/>
    <mergeCell ref="M25:X26"/>
    <mergeCell ref="AN19:AS19"/>
    <mergeCell ref="AT19:AV19"/>
    <mergeCell ref="AW19:BB19"/>
    <mergeCell ref="BE19:BF19"/>
    <mergeCell ref="AJ19:AM19"/>
    <mergeCell ref="AT18:AV18"/>
    <mergeCell ref="BP20:BT20"/>
    <mergeCell ref="AT20:AV20"/>
    <mergeCell ref="BE21:BF21"/>
    <mergeCell ref="BI21:BL21"/>
    <mergeCell ref="BP21:BT21"/>
    <mergeCell ref="AT21:AV21"/>
    <mergeCell ref="AW21:BB21"/>
    <mergeCell ref="AW20:BB20"/>
    <mergeCell ref="BE20:BF20"/>
    <mergeCell ref="BI20:BL20"/>
    <mergeCell ref="BN20:BO20"/>
    <mergeCell ref="AW18:BB18"/>
    <mergeCell ref="BE18:BF18"/>
    <mergeCell ref="BI18:BT19"/>
    <mergeCell ref="Y20:AB20"/>
    <mergeCell ref="Y19:AB19"/>
    <mergeCell ref="AC19:AE19"/>
    <mergeCell ref="AF19:AG19"/>
    <mergeCell ref="AH19:AI19"/>
    <mergeCell ref="I22:L23"/>
    <mergeCell ref="AJ22:AM22"/>
    <mergeCell ref="Y22:AB22"/>
    <mergeCell ref="AF21:AG21"/>
    <mergeCell ref="AH21:AI21"/>
    <mergeCell ref="AC23:AE23"/>
    <mergeCell ref="M23:P23"/>
    <mergeCell ref="Q23:T23"/>
    <mergeCell ref="AF23:AG23"/>
    <mergeCell ref="U20:X20"/>
    <mergeCell ref="U21:X21"/>
    <mergeCell ref="U22:X22"/>
    <mergeCell ref="U23:X23"/>
    <mergeCell ref="U19:X19"/>
    <mergeCell ref="A21:D21"/>
    <mergeCell ref="I21:L21"/>
    <mergeCell ref="M21:P21"/>
    <mergeCell ref="Q21:T21"/>
    <mergeCell ref="E21:F21"/>
    <mergeCell ref="G21:H21"/>
    <mergeCell ref="G18:H18"/>
    <mergeCell ref="A18:D18"/>
    <mergeCell ref="I18:L18"/>
    <mergeCell ref="M18:P18"/>
    <mergeCell ref="Q18:T18"/>
    <mergeCell ref="A20:D20"/>
    <mergeCell ref="I20:L20"/>
    <mergeCell ref="M20:P20"/>
    <mergeCell ref="Q20:T20"/>
    <mergeCell ref="A19:D19"/>
    <mergeCell ref="I19:L19"/>
    <mergeCell ref="M19:P19"/>
    <mergeCell ref="Q19:T19"/>
    <mergeCell ref="E18:F18"/>
    <mergeCell ref="AW14:BB14"/>
    <mergeCell ref="BE14:BF14"/>
    <mergeCell ref="BI14:BN15"/>
    <mergeCell ref="BO14:BP15"/>
    <mergeCell ref="BQ14:BT17"/>
    <mergeCell ref="AT15:AV15"/>
    <mergeCell ref="AW15:BB15"/>
    <mergeCell ref="BE15:BF15"/>
    <mergeCell ref="AT16:AV16"/>
    <mergeCell ref="AW16:BB16"/>
    <mergeCell ref="BE16:BF16"/>
    <mergeCell ref="BI16:BN16"/>
    <mergeCell ref="BO16:BP16"/>
    <mergeCell ref="AW17:BB17"/>
    <mergeCell ref="BE17:BF17"/>
    <mergeCell ref="BI17:BN17"/>
    <mergeCell ref="BO17:BP17"/>
    <mergeCell ref="AT17:AV17"/>
    <mergeCell ref="AT14:AV14"/>
    <mergeCell ref="AF15:AG15"/>
    <mergeCell ref="AH15:AI15"/>
    <mergeCell ref="AJ15:AM15"/>
    <mergeCell ref="AN15:AS15"/>
    <mergeCell ref="AN16:AS16"/>
    <mergeCell ref="AN14:AS14"/>
    <mergeCell ref="AN17:AS17"/>
    <mergeCell ref="AN18:AS18"/>
    <mergeCell ref="A16:L17"/>
    <mergeCell ref="Y16:AB16"/>
    <mergeCell ref="AC16:AE16"/>
    <mergeCell ref="AF16:AG16"/>
    <mergeCell ref="AH16:AI16"/>
    <mergeCell ref="AJ16:AM16"/>
    <mergeCell ref="Y17:AB17"/>
    <mergeCell ref="AC17:AE17"/>
    <mergeCell ref="AF17:AG17"/>
    <mergeCell ref="AH17:AI17"/>
    <mergeCell ref="AJ17:AM17"/>
    <mergeCell ref="AF18:AG18"/>
    <mergeCell ref="AH18:AI18"/>
    <mergeCell ref="AJ18:AM18"/>
    <mergeCell ref="Y14:AB14"/>
    <mergeCell ref="AC14:AE14"/>
    <mergeCell ref="Y15:AB15"/>
    <mergeCell ref="AC15:AE15"/>
    <mergeCell ref="BY2:CB2"/>
    <mergeCell ref="Y18:AB18"/>
    <mergeCell ref="AC18:AE18"/>
    <mergeCell ref="S12:X12"/>
    <mergeCell ref="S13:X13"/>
    <mergeCell ref="E12:N12"/>
    <mergeCell ref="E13:N13"/>
    <mergeCell ref="BS10:BT10"/>
    <mergeCell ref="BO10:BP10"/>
    <mergeCell ref="BE11:BF11"/>
    <mergeCell ref="BM11:BN11"/>
    <mergeCell ref="BO11:BP11"/>
    <mergeCell ref="BQ11:BR11"/>
    <mergeCell ref="BS11:BT11"/>
    <mergeCell ref="AH11:AI11"/>
    <mergeCell ref="AJ11:AM11"/>
    <mergeCell ref="AN11:AS11"/>
    <mergeCell ref="AT11:AV11"/>
    <mergeCell ref="AW11:BB11"/>
    <mergeCell ref="AW10:BB10"/>
    <mergeCell ref="BE10:BF10"/>
    <mergeCell ref="BI11:BJ11"/>
    <mergeCell ref="BS12:BT12"/>
    <mergeCell ref="AT12:AV12"/>
    <mergeCell ref="AW12:BB12"/>
    <mergeCell ref="BE12:BF12"/>
    <mergeCell ref="AH12:AI12"/>
    <mergeCell ref="AN13:AS13"/>
    <mergeCell ref="AT13:AV13"/>
    <mergeCell ref="AW13:BB13"/>
    <mergeCell ref="BQ13:BR13"/>
    <mergeCell ref="BS13:BT13"/>
    <mergeCell ref="BE13:BF13"/>
    <mergeCell ref="BM13:BN13"/>
    <mergeCell ref="BO13:BP13"/>
    <mergeCell ref="BI12:BJ12"/>
    <mergeCell ref="BI13:BL13"/>
    <mergeCell ref="BM12:BN12"/>
    <mergeCell ref="BO12:BP12"/>
    <mergeCell ref="BS7:BT7"/>
    <mergeCell ref="BE7:BF7"/>
    <mergeCell ref="BM7:BN7"/>
    <mergeCell ref="BO7:BP7"/>
    <mergeCell ref="Y11:AB11"/>
    <mergeCell ref="AC11:AE11"/>
    <mergeCell ref="AT10:AV10"/>
    <mergeCell ref="AF11:AG11"/>
    <mergeCell ref="BQ9:BR9"/>
    <mergeCell ref="BS9:BT9"/>
    <mergeCell ref="AW9:BB9"/>
    <mergeCell ref="BE9:BF9"/>
    <mergeCell ref="Y7:AB7"/>
    <mergeCell ref="AC7:AE7"/>
    <mergeCell ref="AF7:AG7"/>
    <mergeCell ref="AH7:AI7"/>
    <mergeCell ref="AJ7:AM7"/>
    <mergeCell ref="Y10:AB10"/>
    <mergeCell ref="AC10:AE10"/>
    <mergeCell ref="AF10:AG10"/>
    <mergeCell ref="AH10:AI10"/>
    <mergeCell ref="BQ8:BR8"/>
    <mergeCell ref="BS8:BT8"/>
    <mergeCell ref="AH9:AI9"/>
    <mergeCell ref="BM5:BN5"/>
    <mergeCell ref="BQ5:BR5"/>
    <mergeCell ref="BK7:BL7"/>
    <mergeCell ref="BK8:BL8"/>
    <mergeCell ref="BK9:BL9"/>
    <mergeCell ref="BK10:BL10"/>
    <mergeCell ref="BK11:BL11"/>
    <mergeCell ref="BE8:BF8"/>
    <mergeCell ref="BM8:BN8"/>
    <mergeCell ref="BO8:BP8"/>
    <mergeCell ref="BM9:BN9"/>
    <mergeCell ref="BO9:BP9"/>
    <mergeCell ref="BM10:BN10"/>
    <mergeCell ref="BI10:BJ10"/>
    <mergeCell ref="AW8:BB8"/>
    <mergeCell ref="AT7:AV7"/>
    <mergeCell ref="AW7:BB7"/>
    <mergeCell ref="BK6:BL6"/>
    <mergeCell ref="BQ6:BR6"/>
    <mergeCell ref="BK12:BL12"/>
    <mergeCell ref="BI7:BJ7"/>
    <mergeCell ref="BI8:BJ8"/>
    <mergeCell ref="BI9:BJ9"/>
    <mergeCell ref="BQ7:BR7"/>
    <mergeCell ref="BQ12:BR12"/>
    <mergeCell ref="BQ10:BR10"/>
    <mergeCell ref="BS6:BT6"/>
    <mergeCell ref="AW6:BB6"/>
    <mergeCell ref="BE6:BF6"/>
    <mergeCell ref="Y6:AB6"/>
    <mergeCell ref="AC6:AE6"/>
    <mergeCell ref="AF6:AG6"/>
    <mergeCell ref="AH6:AI6"/>
    <mergeCell ref="AJ6:AM6"/>
    <mergeCell ref="BO6:BP6"/>
    <mergeCell ref="BM6:BN6"/>
    <mergeCell ref="AN6:AS6"/>
    <mergeCell ref="AT6:AV6"/>
    <mergeCell ref="BI6:BJ6"/>
    <mergeCell ref="BS5:BT5"/>
    <mergeCell ref="AW5:BB5"/>
    <mergeCell ref="BE5:BF5"/>
    <mergeCell ref="BO5:BP5"/>
    <mergeCell ref="BS3:BT3"/>
    <mergeCell ref="Y4:AB4"/>
    <mergeCell ref="BG3:BH3"/>
    <mergeCell ref="BS4:BT4"/>
    <mergeCell ref="AW4:BB4"/>
    <mergeCell ref="BE4:BF4"/>
    <mergeCell ref="AC4:AE4"/>
    <mergeCell ref="AF4:AG4"/>
    <mergeCell ref="AH4:AI4"/>
    <mergeCell ref="AJ4:AM4"/>
    <mergeCell ref="AN4:AT4"/>
    <mergeCell ref="AU4:AV4"/>
    <mergeCell ref="BM4:BN4"/>
    <mergeCell ref="BO4:BP4"/>
    <mergeCell ref="BQ4:BR4"/>
    <mergeCell ref="BI4:BJ4"/>
    <mergeCell ref="BI5:BJ5"/>
    <mergeCell ref="BK4:BL4"/>
    <mergeCell ref="BK5:BL5"/>
    <mergeCell ref="Y5:AB5"/>
    <mergeCell ref="Y1:AM2"/>
    <mergeCell ref="AN1:AV2"/>
    <mergeCell ref="BO3:BP3"/>
    <mergeCell ref="BQ3:BR3"/>
    <mergeCell ref="AW1:BH2"/>
    <mergeCell ref="BI1:BT2"/>
    <mergeCell ref="AU3:AV3"/>
    <mergeCell ref="BM3:BN3"/>
    <mergeCell ref="Y3:AB3"/>
    <mergeCell ref="AC3:AE3"/>
    <mergeCell ref="AF3:AG3"/>
    <mergeCell ref="AH3:AI3"/>
    <mergeCell ref="AJ3:AM3"/>
    <mergeCell ref="AN3:AT3"/>
    <mergeCell ref="AW3:BB3"/>
    <mergeCell ref="BC3:BD3"/>
    <mergeCell ref="BE3:BF3"/>
    <mergeCell ref="BI3:BJ3"/>
    <mergeCell ref="BK3:BL3"/>
    <mergeCell ref="AN8:AS8"/>
    <mergeCell ref="AT8:AV8"/>
    <mergeCell ref="AT5:AV5"/>
    <mergeCell ref="AJ14:AM14"/>
    <mergeCell ref="Y12:AB12"/>
    <mergeCell ref="AC12:AE12"/>
    <mergeCell ref="AF12:AG12"/>
    <mergeCell ref="AJ12:AM12"/>
    <mergeCell ref="AN12:AS12"/>
    <mergeCell ref="AF13:AG13"/>
    <mergeCell ref="AH13:AI13"/>
    <mergeCell ref="AJ13:AM13"/>
    <mergeCell ref="Y13:AB13"/>
    <mergeCell ref="AC13:AE13"/>
    <mergeCell ref="AF14:AG14"/>
    <mergeCell ref="AH14:AI14"/>
    <mergeCell ref="Y28:AB28"/>
    <mergeCell ref="AC28:AE28"/>
    <mergeCell ref="AF28:AG28"/>
    <mergeCell ref="U27:X28"/>
    <mergeCell ref="AT29:AV29"/>
    <mergeCell ref="AC5:AE5"/>
    <mergeCell ref="AF5:AG5"/>
    <mergeCell ref="AJ10:AM10"/>
    <mergeCell ref="AN10:AS10"/>
    <mergeCell ref="AJ9:AM9"/>
    <mergeCell ref="AN9:AS9"/>
    <mergeCell ref="AT9:AV9"/>
    <mergeCell ref="Y9:AB9"/>
    <mergeCell ref="AC9:AE9"/>
    <mergeCell ref="AF9:AG9"/>
    <mergeCell ref="AH5:AI5"/>
    <mergeCell ref="AJ5:AM5"/>
    <mergeCell ref="AN5:AS5"/>
    <mergeCell ref="AN7:AS7"/>
    <mergeCell ref="Y8:AB8"/>
    <mergeCell ref="AC8:AE8"/>
    <mergeCell ref="AF8:AG8"/>
    <mergeCell ref="AH8:AI8"/>
    <mergeCell ref="AJ8:AM8"/>
  </mergeCells>
  <conditionalFormatting sqref="E22:H22 E28:H28 E34:H34">
    <cfRule type="expression" dxfId="495" priority="345">
      <formula>NOT($M$1="Prioritize Your Attribute Groups")</formula>
    </cfRule>
    <cfRule type="notContainsText" dxfId="494" priority="348" operator="notContains" text="Select">
      <formula>ISERROR(SEARCH("Select",E22))</formula>
    </cfRule>
    <cfRule type="expression" dxfId="493" priority="349">
      <formula>$M$1="Prioritize Your Attribute Groups"</formula>
    </cfRule>
  </conditionalFormatting>
  <conditionalFormatting sqref="E22:H22">
    <cfRule type="expression" dxfId="492" priority="344">
      <formula>AND(NOT($E$22="Select"),OR($E$22=$E$28,$E$22=$E$34))</formula>
    </cfRule>
  </conditionalFormatting>
  <conditionalFormatting sqref="E28:H28">
    <cfRule type="expression" dxfId="491" priority="343">
      <formula>AND(NOT($E$28="Select"),OR($E$22=$E$28,$E$28=$E$34))</formula>
    </cfRule>
  </conditionalFormatting>
  <conditionalFormatting sqref="E34:H34">
    <cfRule type="expression" dxfId="490" priority="342">
      <formula>AND(NOT($E$34="Select"),OR($E$34=$E$28,$E$22=$E$34))</formula>
    </cfRule>
  </conditionalFormatting>
  <conditionalFormatting sqref="AW4:BC46 BO4:BP12">
    <cfRule type="expression" dxfId="489" priority="111">
      <formula>$BO$16&lt;0</formula>
    </cfRule>
    <cfRule type="expression" dxfId="488" priority="339">
      <formula>$BO$17="yes"</formula>
    </cfRule>
    <cfRule type="expression" dxfId="487" priority="341">
      <formula>$M$1="Select Advantages"</formula>
    </cfRule>
  </conditionalFormatting>
  <conditionalFormatting sqref="AW4:BC46">
    <cfRule type="notContainsBlanks" dxfId="486" priority="337">
      <formula>LEN(TRIM(AW4))&gt;0</formula>
    </cfRule>
    <cfRule type="notContainsBlanks" dxfId="485" priority="340">
      <formula>LEN(TRIM(AW4))&gt;0</formula>
    </cfRule>
  </conditionalFormatting>
  <conditionalFormatting sqref="BC4:BC46">
    <cfRule type="cellIs" dxfId="484" priority="112" operator="greaterThan">
      <formula>$AU$3+$AU$4-1</formula>
    </cfRule>
  </conditionalFormatting>
  <conditionalFormatting sqref="BO4:BP4">
    <cfRule type="expression" dxfId="483" priority="335">
      <formula>BO4+BM4&gt;BK4</formula>
    </cfRule>
    <cfRule type="expression" dxfId="482" priority="336">
      <formula>BO4+BM4&gt;$AU$3+$AU$4-1</formula>
    </cfRule>
  </conditionalFormatting>
  <conditionalFormatting sqref="BO5:BP5">
    <cfRule type="expression" dxfId="481" priority="333">
      <formula>BO5+BM5&gt;$AU$3+$AU$4-1</formula>
    </cfRule>
    <cfRule type="expression" dxfId="480" priority="334">
      <formula>BO5+BM5&gt;BK5</formula>
    </cfRule>
  </conditionalFormatting>
  <conditionalFormatting sqref="BO6:BP6">
    <cfRule type="expression" dxfId="479" priority="331">
      <formula>BO6+BM6&gt;$AU$3+$AU$4-1</formula>
    </cfRule>
    <cfRule type="expression" dxfId="478" priority="332">
      <formula>BO6+BM6&gt;BK6</formula>
    </cfRule>
  </conditionalFormatting>
  <conditionalFormatting sqref="BO7:BP7">
    <cfRule type="expression" dxfId="477" priority="329">
      <formula>BO7+BM7&gt;$AU$3+$AU$4-1</formula>
    </cfRule>
    <cfRule type="expression" dxfId="476" priority="330">
      <formula>BO7+BM7&gt;BK7</formula>
    </cfRule>
  </conditionalFormatting>
  <conditionalFormatting sqref="BO8:BP8">
    <cfRule type="expression" dxfId="475" priority="327">
      <formula>BO8+BM8&gt;$AU$3+$AU$4-1</formula>
    </cfRule>
    <cfRule type="expression" dxfId="474" priority="328">
      <formula>BO8+BM8&gt;BK8</formula>
    </cfRule>
  </conditionalFormatting>
  <conditionalFormatting sqref="BO9:BP9">
    <cfRule type="expression" dxfId="473" priority="325">
      <formula>BO9+BM9&gt;$AU$3+$AU$4-1</formula>
    </cfRule>
    <cfRule type="expression" dxfId="472" priority="326">
      <formula>BO9+BM9&gt;BK9</formula>
    </cfRule>
  </conditionalFormatting>
  <conditionalFormatting sqref="BO10:BP10">
    <cfRule type="expression" dxfId="471" priority="323">
      <formula>BO10+BM10&gt;$AU$3+$AU$4-1</formula>
    </cfRule>
    <cfRule type="expression" dxfId="470" priority="324">
      <formula>BO10+BM10&gt;BK10</formula>
    </cfRule>
  </conditionalFormatting>
  <conditionalFormatting sqref="BO11:BP11">
    <cfRule type="expression" dxfId="469" priority="321">
      <formula>BO11+BM11&gt;$AU$3+$AU$4-1</formula>
    </cfRule>
    <cfRule type="expression" dxfId="468" priority="322">
      <formula>BO11+BM11&gt;BK11</formula>
    </cfRule>
  </conditionalFormatting>
  <conditionalFormatting sqref="BO12:BP12">
    <cfRule type="expression" dxfId="467" priority="319">
      <formula>BO12+BM12&gt;$AU$3+$AU$4-1</formula>
    </cfRule>
    <cfRule type="expression" dxfId="466" priority="320">
      <formula>BO12+BM12&gt;BK12</formula>
    </cfRule>
  </conditionalFormatting>
  <conditionalFormatting sqref="I19:L21 I25:L27 I31:L33 S30:T33 W30:X30 AU4:AV4 AN6:AS33 AW4:BC46 BQ4:BR4 BN21:BO21 BN32:BO39 AF4:AG4">
    <cfRule type="expression" dxfId="465" priority="338">
      <formula>$M$1="Spend Bonus Points"</formula>
    </cfRule>
  </conditionalFormatting>
  <conditionalFormatting sqref="G31:H33">
    <cfRule type="expression" dxfId="464" priority="272">
      <formula>$E$35&lt;0</formula>
    </cfRule>
    <cfRule type="expression" dxfId="463" priority="279">
      <formula>NOT($M$1="Select Mental Attributes")</formula>
    </cfRule>
    <cfRule type="expression" dxfId="462" priority="288">
      <formula>$M$1="Select Mental Attributes"</formula>
    </cfRule>
  </conditionalFormatting>
  <conditionalFormatting sqref="G25:H27">
    <cfRule type="expression" dxfId="461" priority="269">
      <formula>$E$29&lt;0</formula>
    </cfRule>
    <cfRule type="expression" dxfId="460" priority="276">
      <formula>NOT($M$1="Select Social Attributes")</formula>
    </cfRule>
    <cfRule type="expression" dxfId="459" priority="287">
      <formula>$M$1="Select Social Attributes"</formula>
    </cfRule>
  </conditionalFormatting>
  <conditionalFormatting sqref="G19:H21">
    <cfRule type="expression" dxfId="458" priority="266">
      <formula>$E$23&lt;0</formula>
    </cfRule>
    <cfRule type="expression" dxfId="457" priority="273">
      <formula>NOT($M$1="Select Physical Attributes")</formula>
    </cfRule>
    <cfRule type="expression" dxfId="456" priority="286">
      <formula>$M$1="Select Physical Attributes"</formula>
    </cfRule>
  </conditionalFormatting>
  <conditionalFormatting sqref="G31:H31">
    <cfRule type="expression" dxfId="455" priority="271">
      <formula>OR(AND($AU$3+$AU$4&lt;6,$E$31+$G$31&gt;5),AND($AU$3+$AU$4&lt;5,$E$31+$G$31&gt;$AU$3+$AU$4))</formula>
    </cfRule>
    <cfRule type="expression" dxfId="454" priority="285">
      <formula>OR(AND($AU$3+$AU$4&lt;6,$E$31+$G$31=5),AND($AU$3+$AU$4&lt;5,$E$31+$G$31=$AU$3+$AU$4))</formula>
    </cfRule>
  </conditionalFormatting>
  <conditionalFormatting sqref="G32:H32">
    <cfRule type="expression" dxfId="453" priority="270">
      <formula>OR(AND($AU$3+$AU$4&lt;6,$E$32+$G$32&gt;5),AND($AU$3+$AU$4&lt;5,$E$32+$G$32&gt;$AU$3+$AU$4))</formula>
    </cfRule>
    <cfRule type="expression" dxfId="452" priority="280">
      <formula>OR(AND($AU$3+$AU$4&lt;6,$E$32+$G$32=5),AND($AU$3+$AU$4&lt;5,$E$32+$G$32=$AU$3+$AU$4))</formula>
    </cfRule>
  </conditionalFormatting>
  <conditionalFormatting sqref="G33:H33">
    <cfRule type="expression" dxfId="451" priority="263">
      <formula>OR(AND($AU$3+$AU$4&lt;6,$E$33+$G$33&gt;5),AND($AU$3+$AU$4&lt;5,$E$33+$G$33&gt;$AU$3+$AU$4))</formula>
    </cfRule>
    <cfRule type="expression" dxfId="450" priority="281">
      <formula>OR(AND($AU$3+$AU$4&lt;6,$E$33+$G$33=5),AND($AU$3+$AU$4&lt;5,$E$33+$G$33=$AU$3+$AU$4))</formula>
    </cfRule>
  </conditionalFormatting>
  <conditionalFormatting sqref="G27:H27">
    <cfRule type="expression" dxfId="449" priority="268">
      <formula>OR(AND($AU$3+$AU$4&lt;6,$E$27+$G$27&gt;5),AND($AU$3+$AU$4&lt;5,$E$27+$G$27&gt;$AU$3+$AU$4))</formula>
    </cfRule>
    <cfRule type="expression" dxfId="448" priority="284">
      <formula>OR(AND($AU$3+$AU$4&lt;6,$E$27+$G$27=5),AND($AU$3+$AU$4&lt;5,$E$27+$G$27=$AU$3+$AU$4))</formula>
    </cfRule>
  </conditionalFormatting>
  <conditionalFormatting sqref="G26:H26">
    <cfRule type="expression" dxfId="447" priority="267">
      <formula>OR(AND($AU$3+$AU$4&lt;6,$E$26+$G$26&gt;5),AND($AU$3+$AU$4&lt;5,$E$26+$G$26&gt;$AU$3+$AU$4))</formula>
    </cfRule>
    <cfRule type="expression" dxfId="446" priority="278">
      <formula>OR(AND($AU$3+$AU$4&lt;6,$E$26+$G$26=5),AND($AU$3+$AU$4&lt;5,$E$26+$G$26=$AU$3+$AU$4))</formula>
    </cfRule>
  </conditionalFormatting>
  <conditionalFormatting sqref="G25:H25">
    <cfRule type="expression" dxfId="445" priority="262">
      <formula>OR(AND($AU$3+$AU$4&lt;6,$E$25+$G$25&gt;5),AND($AU$3+$AU$4&lt;5,$E$25+$G$25&gt;$AU$3+$AU$4))</formula>
    </cfRule>
    <cfRule type="expression" dxfId="444" priority="277">
      <formula>OR(AND($AU$3+$AU$4&lt;6,$E$25+$G$25=5),AND($AU$3+$AU$4&lt;5,$E$25+$G$25=$AU$3+$AU$4))</formula>
    </cfRule>
  </conditionalFormatting>
  <conditionalFormatting sqref="G21:H21">
    <cfRule type="expression" dxfId="443" priority="261">
      <formula>OR(AND($AU$3+$AU$4&lt;6,$E$21+$G$21&gt;5),AND($AU$3+$AU$4&lt;5,$E$21+$G$21&gt;$AU$3+$AU$4))</formula>
    </cfRule>
    <cfRule type="expression" dxfId="442" priority="283">
      <formula>OR(AND($AU$3+$AU$4&lt;6,$E$21+$G$21=5),AND($AU$3+$AU$4&lt;5,$E$21+$G$21=$AU$3+$AU$4))</formula>
    </cfRule>
  </conditionalFormatting>
  <conditionalFormatting sqref="G20:H20">
    <cfRule type="expression" dxfId="441" priority="264">
      <formula>OR(AND($AU$3+$AU$4&lt;6,$E$20+$G$20&gt;5),AND($AU$3+$AU$4&lt;5,$E$20+$G$20&gt;$AU$3+$AU$4))</formula>
    </cfRule>
    <cfRule type="expression" dxfId="440" priority="275">
      <formula>OR(AND($AU$3+$AU$4&lt;6,$E$20+$G$20=5),AND($AU$3+$AU$4&lt;5,$E$20+$G$20=$AU$3+$AU$4))</formula>
    </cfRule>
  </conditionalFormatting>
  <conditionalFormatting sqref="G19:H19">
    <cfRule type="expression" dxfId="439" priority="265">
      <formula>OR(AND($AU$3+$AU$4&lt;6,$E$19+$G$19&gt;5),AND($AU$3+$AU$4&lt;5,$E$19+$G$19&gt;$AU$3+$AU$4))</formula>
    </cfRule>
    <cfRule type="expression" dxfId="438" priority="274">
      <formula>OR(AND($AU$3+$AU$4&lt;6,$E$19+$G$19=5),AND($AU$3+$AU$4&lt;5,$E$19+$G$19=$AU$3+$AU$4))</formula>
    </cfRule>
  </conditionalFormatting>
  <conditionalFormatting sqref="I19:L19">
    <cfRule type="expression" dxfId="437" priority="243">
      <formula>OR(AND($AU$3+$AU$4&lt;6,$I$19+$G$19+$E$19&gt;5),AND($AU$3+$AU$4&gt;5,$I$19+$G$19+$E$19&gt;$AU$3+$AU$4))</formula>
    </cfRule>
    <cfRule type="expression" dxfId="436" priority="260">
      <formula>OR(AND($AU$3+$AU$4&lt;6,$I$19+$G$19+$E$19=5),AND($AU$3+$AU$4&gt;5,$I$19+$G$19+$E$19=$AU$3+$AU$4))</formula>
    </cfRule>
  </conditionalFormatting>
  <conditionalFormatting sqref="I20:L20">
    <cfRule type="expression" dxfId="435" priority="244">
      <formula>OR(AND($AU$3+$AU$4&lt;6,$I$20+$G$20+$E$20&gt;5),AND($AU$3+$AU$4&gt;5,$I$20+$G$20+$E$20&gt;$AU$3+$AU$4))</formula>
    </cfRule>
    <cfRule type="expression" dxfId="434" priority="259">
      <formula>OR(AND($AU$3+$AU$4&lt;6,$I$20+$G$20+$E$20=5),AND($AU$3+$AU$4&gt;5,$I$20+$G$20+$E$20=$AU$3+$AU$4))</formula>
    </cfRule>
  </conditionalFormatting>
  <conditionalFormatting sqref="I21:L21">
    <cfRule type="expression" dxfId="433" priority="245">
      <formula>OR(AND($AU$3+$AU$4&lt;6,$I$21+$G$21+$E$21&gt;5),AND($AU$3+$AU$4&gt;5,$I$21+$G$21+$E$21&gt;$AU$3+$AU$4))</formula>
    </cfRule>
    <cfRule type="expression" dxfId="432" priority="258">
      <formula>OR(AND($AU$3+$AU$4&lt;6,$I$21+$G$21+$E$21=5),AND($AU$3+$AU$4&gt;5,$I$21+$G$21+$E$21=$AU$3+$AU$4))</formula>
    </cfRule>
  </conditionalFormatting>
  <conditionalFormatting sqref="I25:L25">
    <cfRule type="expression" dxfId="431" priority="246">
      <formula>OR(AND($AU$3+$AU$4&lt;6,$I$25+$G$25+$E$25&gt;5),AND($AU$3+$AU$4&gt;5,$I$25+$G$25+$E$25&gt;$AU$3+$AU$4))</formula>
    </cfRule>
    <cfRule type="expression" dxfId="430" priority="257">
      <formula>OR(AND($AU$3+$AU$4&lt;6,$I$25+$G$25+$E$25=5),AND($AU$3+$AU$4&gt;5,$I$25+$G$25+$E$25=$AU$3+$AU$4))</formula>
    </cfRule>
  </conditionalFormatting>
  <conditionalFormatting sqref="I26:L26">
    <cfRule type="expression" dxfId="429" priority="247">
      <formula>OR(AND($AU$3+$AU$4&lt;6,$I$26+$G$26+$E$26&gt;5),AND($AU$3+$AU$4&gt;5,$I$26+$G$26+$E$26&gt;$AU$3+$AU$4))</formula>
    </cfRule>
    <cfRule type="expression" dxfId="428" priority="256">
      <formula>OR(AND($AU$3+$AU$4&lt;6,$I$26+$G$26+$E$26=5),AND($AU$3+$AU$4&gt;5,$I$26+$G$26+$E$26=$AU$3+$AU$4))</formula>
    </cfRule>
  </conditionalFormatting>
  <conditionalFormatting sqref="I27:L27">
    <cfRule type="expression" dxfId="427" priority="248">
      <formula>OR(AND($AU$3+$AU$4&lt;6,$I$27+$G$27+$E$27&gt;5),AND($AU$3+$AU$4&gt;5,$I$27+$G$27+$E$27&gt;$AU$3+$AU$4))</formula>
    </cfRule>
    <cfRule type="expression" dxfId="426" priority="255">
      <formula>OR(AND($AU$3+$AU$4&lt;6,$I$27+$G$27+$E$27=5),AND($AU$3+$AU$4&gt;5,$I$27+$G$27+$E$27=$AU$3+$AU$4))</formula>
    </cfRule>
  </conditionalFormatting>
  <conditionalFormatting sqref="I31:L31">
    <cfRule type="expression" dxfId="425" priority="249">
      <formula>OR(AND($AU$3+$AU$4&lt;6,$I$31+$G$31+$E$31&gt;5),AND($AU$3+$AU$4&gt;5,$I$31+$G$31+$E$31&gt;$AU$3+$AU$4))</formula>
    </cfRule>
    <cfRule type="expression" dxfId="424" priority="254">
      <formula>OR(AND($AU$3+$AU$4&lt;6,$I$31+$G$31+$E$31=5),AND($AU$3+$AU$4&gt;5,$I$31+$G$31+$E$31=$AU$3+$AU$4))</formula>
    </cfRule>
  </conditionalFormatting>
  <conditionalFormatting sqref="I32:L32">
    <cfRule type="expression" dxfId="423" priority="250">
      <formula>OR(AND($AU$3+$AU$4&lt;6,$I$32+$G$32+$E$32&gt;5),AND($AU$3+$AU$4&gt;5,$I$32+$G$32+$E$32&gt;$AU$3+$AU$4))</formula>
    </cfRule>
    <cfRule type="expression" dxfId="422" priority="253">
      <formula>OR(AND($AU$3+$AU$4&lt;6,$I$32+$G$32+$E$32=5),AND($AU$3+$AU$4&gt;5,$I$32+$G$32+$E$32=$AU$3+$AU$4))</formula>
    </cfRule>
  </conditionalFormatting>
  <conditionalFormatting sqref="I33:L33">
    <cfRule type="expression" dxfId="421" priority="251">
      <formula>OR(AND($AU$3+$AU$4&lt;6,$I$33+$G$33+$E$33&gt;5),AND($AU$3+$AU$4&gt;5,$I$33+$G$33+$E$33&gt;$AU$3+$AU$4))</formula>
    </cfRule>
    <cfRule type="expression" dxfId="420" priority="252">
      <formula>OR(AND($AU$3+$AU$4&lt;6,$I$33+$G$33+$E$33=5),AND($AU$3+$AU$4&gt;5,$I$33+$G$33+$E$33=$AU$3+$AU$4))</formula>
    </cfRule>
  </conditionalFormatting>
  <conditionalFormatting sqref="S30:T30">
    <cfRule type="expression" dxfId="419" priority="241">
      <formula>$S$30+$Q$30&gt;5</formula>
    </cfRule>
    <cfRule type="expression" dxfId="418" priority="242">
      <formula>$S$30+$Q$30=5</formula>
    </cfRule>
  </conditionalFormatting>
  <conditionalFormatting sqref="S31:T31">
    <cfRule type="expression" dxfId="417" priority="239">
      <formula>$S$31+$Q$31&gt;5</formula>
    </cfRule>
    <cfRule type="expression" dxfId="416" priority="240">
      <formula>$S$31+$Q$31=5</formula>
    </cfRule>
  </conditionalFormatting>
  <conditionalFormatting sqref="S32:T32">
    <cfRule type="expression" dxfId="415" priority="237">
      <formula>$S$32+$Q$32&gt;5</formula>
    </cfRule>
    <cfRule type="expression" dxfId="414" priority="238">
      <formula>$S$32+$Q$32=5</formula>
    </cfRule>
  </conditionalFormatting>
  <conditionalFormatting sqref="S33:T33">
    <cfRule type="expression" dxfId="413" priority="235">
      <formula>$S$33+$Q$33&gt;5</formula>
    </cfRule>
    <cfRule type="expression" dxfId="412" priority="236">
      <formula>$S$33+$Q$33=5</formula>
    </cfRule>
  </conditionalFormatting>
  <conditionalFormatting sqref="AF4:AG4">
    <cfRule type="expression" dxfId="411" priority="204">
      <formula>$AF$4+$AC$4&gt;5</formula>
    </cfRule>
    <cfRule type="expression" dxfId="410" priority="234">
      <formula>AC4+AF4=5</formula>
    </cfRule>
  </conditionalFormatting>
  <conditionalFormatting sqref="AF5:AG5">
    <cfRule type="expression" dxfId="409" priority="201">
      <formula>$M$1="Spend Bonus Points"</formula>
    </cfRule>
  </conditionalFormatting>
  <conditionalFormatting sqref="AF5:AG5">
    <cfRule type="expression" dxfId="408" priority="199">
      <formula>$AF$4+$AC$4&gt;5</formula>
    </cfRule>
    <cfRule type="expression" dxfId="407" priority="200">
      <formula>AC5+AF5=5</formula>
    </cfRule>
  </conditionalFormatting>
  <conditionalFormatting sqref="AF6:AG6">
    <cfRule type="expression" dxfId="406" priority="198">
      <formula>$M$1="Spend Bonus Points"</formula>
    </cfRule>
  </conditionalFormatting>
  <conditionalFormatting sqref="AF6:AG6">
    <cfRule type="expression" dxfId="405" priority="196">
      <formula>$AF$4+$AC$4&gt;5</formula>
    </cfRule>
    <cfRule type="expression" dxfId="404" priority="197">
      <formula>AC6+AF6=5</formula>
    </cfRule>
  </conditionalFormatting>
  <conditionalFormatting sqref="AF7:AG7">
    <cfRule type="expression" dxfId="403" priority="195">
      <formula>$M$1="Spend Bonus Points"</formula>
    </cfRule>
  </conditionalFormatting>
  <conditionalFormatting sqref="AF7:AG7">
    <cfRule type="expression" dxfId="402" priority="193">
      <formula>$AF$4+$AC$4&gt;5</formula>
    </cfRule>
    <cfRule type="expression" dxfId="401" priority="194">
      <formula>AC7+AF7=5</formula>
    </cfRule>
  </conditionalFormatting>
  <conditionalFormatting sqref="AF8:AG8">
    <cfRule type="expression" dxfId="400" priority="192">
      <formula>$M$1="Spend Bonus Points"</formula>
    </cfRule>
  </conditionalFormatting>
  <conditionalFormatting sqref="AF8:AG8">
    <cfRule type="expression" dxfId="399" priority="190">
      <formula>$AF$4+$AC$4&gt;5</formula>
    </cfRule>
    <cfRule type="expression" dxfId="398" priority="191">
      <formula>AC8+AF8=5</formula>
    </cfRule>
  </conditionalFormatting>
  <conditionalFormatting sqref="AF9:AG9">
    <cfRule type="expression" dxfId="397" priority="189">
      <formula>$M$1="Spend Bonus Points"</formula>
    </cfRule>
  </conditionalFormatting>
  <conditionalFormatting sqref="AF9:AG9">
    <cfRule type="expression" dxfId="396" priority="187">
      <formula>$AF$4+$AC$4&gt;5</formula>
    </cfRule>
    <cfRule type="expression" dxfId="395" priority="188">
      <formula>AC9+AF9=5</formula>
    </cfRule>
  </conditionalFormatting>
  <conditionalFormatting sqref="AF10:AG10">
    <cfRule type="expression" dxfId="394" priority="186">
      <formula>$M$1="Spend Bonus Points"</formula>
    </cfRule>
  </conditionalFormatting>
  <conditionalFormatting sqref="AF10:AG10">
    <cfRule type="expression" dxfId="393" priority="184">
      <formula>$AF$4+$AC$4&gt;5</formula>
    </cfRule>
    <cfRule type="expression" dxfId="392" priority="185">
      <formula>AC10+AF10=5</formula>
    </cfRule>
  </conditionalFormatting>
  <conditionalFormatting sqref="AF11:AG11">
    <cfRule type="expression" dxfId="391" priority="183">
      <formula>$M$1="Spend Bonus Points"</formula>
    </cfRule>
  </conditionalFormatting>
  <conditionalFormatting sqref="AF11:AG11">
    <cfRule type="expression" dxfId="390" priority="181">
      <formula>$AF$4+$AC$4&gt;5</formula>
    </cfRule>
    <cfRule type="expression" dxfId="389" priority="182">
      <formula>AC11+AF11=5</formula>
    </cfRule>
  </conditionalFormatting>
  <conditionalFormatting sqref="AF12:AG12">
    <cfRule type="expression" dxfId="388" priority="180">
      <formula>$M$1="Spend Bonus Points"</formula>
    </cfRule>
  </conditionalFormatting>
  <conditionalFormatting sqref="AF12:AG12">
    <cfRule type="expression" dxfId="387" priority="178">
      <formula>$AF$4+$AC$4&gt;5</formula>
    </cfRule>
    <cfRule type="expression" dxfId="386" priority="179">
      <formula>AC12+AF12=5</formula>
    </cfRule>
  </conditionalFormatting>
  <conditionalFormatting sqref="AF13:AG13">
    <cfRule type="expression" dxfId="385" priority="177">
      <formula>$M$1="Spend Bonus Points"</formula>
    </cfRule>
  </conditionalFormatting>
  <conditionalFormatting sqref="AF13:AG13">
    <cfRule type="expression" dxfId="384" priority="175">
      <formula>$AF$4+$AC$4&gt;5</formula>
    </cfRule>
    <cfRule type="expression" dxfId="383" priority="176">
      <formula>AC13+AF13=5</formula>
    </cfRule>
  </conditionalFormatting>
  <conditionalFormatting sqref="AF14:AG14">
    <cfRule type="expression" dxfId="382" priority="174">
      <formula>$M$1="Spend Bonus Points"</formula>
    </cfRule>
  </conditionalFormatting>
  <conditionalFormatting sqref="AF14:AG14">
    <cfRule type="expression" dxfId="381" priority="172">
      <formula>$AF$4+$AC$4&gt;5</formula>
    </cfRule>
    <cfRule type="expression" dxfId="380" priority="173">
      <formula>AC14+AF14=5</formula>
    </cfRule>
  </conditionalFormatting>
  <conditionalFormatting sqref="AF15:AG15">
    <cfRule type="expression" dxfId="379" priority="171">
      <formula>$M$1="Spend Bonus Points"</formula>
    </cfRule>
  </conditionalFormatting>
  <conditionalFormatting sqref="AF15:AG15">
    <cfRule type="expression" dxfId="378" priority="169">
      <formula>$AF$4+$AC$4&gt;5</formula>
    </cfRule>
    <cfRule type="expression" dxfId="377" priority="170">
      <formula>AC15+AF15=5</formula>
    </cfRule>
  </conditionalFormatting>
  <conditionalFormatting sqref="AF16:AG16">
    <cfRule type="expression" dxfId="376" priority="168">
      <formula>$M$1="Spend Bonus Points"</formula>
    </cfRule>
  </conditionalFormatting>
  <conditionalFormatting sqref="AF16:AG16">
    <cfRule type="expression" dxfId="375" priority="166">
      <formula>$AF$4+$AC$4&gt;5</formula>
    </cfRule>
    <cfRule type="expression" dxfId="374" priority="167">
      <formula>AC16+AF16=5</formula>
    </cfRule>
  </conditionalFormatting>
  <conditionalFormatting sqref="AF17:AG17">
    <cfRule type="expression" dxfId="373" priority="165">
      <formula>$M$1="Spend Bonus Points"</formula>
    </cfRule>
  </conditionalFormatting>
  <conditionalFormatting sqref="AF17:AG17">
    <cfRule type="expression" dxfId="372" priority="163">
      <formula>$AF$4+$AC$4&gt;5</formula>
    </cfRule>
    <cfRule type="expression" dxfId="371" priority="164">
      <formula>AC17+AF17=5</formula>
    </cfRule>
  </conditionalFormatting>
  <conditionalFormatting sqref="AF18:AG18">
    <cfRule type="expression" dxfId="370" priority="162">
      <formula>$M$1="Spend Bonus Points"</formula>
    </cfRule>
  </conditionalFormatting>
  <conditionalFormatting sqref="AF18:AG18">
    <cfRule type="expression" dxfId="369" priority="160">
      <formula>$AF$4+$AC$4&gt;5</formula>
    </cfRule>
    <cfRule type="expression" dxfId="368" priority="161">
      <formula>AC18+AF18=5</formula>
    </cfRule>
  </conditionalFormatting>
  <conditionalFormatting sqref="AF19:AG19">
    <cfRule type="expression" dxfId="367" priority="159">
      <formula>$M$1="Spend Bonus Points"</formula>
    </cfRule>
  </conditionalFormatting>
  <conditionalFormatting sqref="AF19:AG19">
    <cfRule type="expression" dxfId="366" priority="157">
      <formula>$AF$4+$AC$4&gt;5</formula>
    </cfRule>
    <cfRule type="expression" dxfId="365" priority="158">
      <formula>AC19+AF19=5</formula>
    </cfRule>
  </conditionalFormatting>
  <conditionalFormatting sqref="AF20:AG20">
    <cfRule type="expression" dxfId="364" priority="156">
      <formula>$M$1="Spend Bonus Points"</formula>
    </cfRule>
  </conditionalFormatting>
  <conditionalFormatting sqref="AF20:AG20">
    <cfRule type="expression" dxfId="363" priority="154">
      <formula>$AF$4+$AC$4&gt;5</formula>
    </cfRule>
    <cfRule type="expression" dxfId="362" priority="155">
      <formula>AC20+AF20=5</formula>
    </cfRule>
  </conditionalFormatting>
  <conditionalFormatting sqref="AF21:AG21">
    <cfRule type="expression" dxfId="361" priority="153">
      <formula>$M$1="Spend Bonus Points"</formula>
    </cfRule>
  </conditionalFormatting>
  <conditionalFormatting sqref="AF21:AG21">
    <cfRule type="expression" dxfId="360" priority="151">
      <formula>$AF$4+$AC$4&gt;5</formula>
    </cfRule>
    <cfRule type="expression" dxfId="359" priority="152">
      <formula>AC21+AF21=5</formula>
    </cfRule>
  </conditionalFormatting>
  <conditionalFormatting sqref="AF22:AG22">
    <cfRule type="expression" dxfId="358" priority="150">
      <formula>$M$1="Spend Bonus Points"</formula>
    </cfRule>
  </conditionalFormatting>
  <conditionalFormatting sqref="AF22:AG22">
    <cfRule type="expression" dxfId="357" priority="148">
      <formula>$AF$4+$AC$4&gt;5</formula>
    </cfRule>
    <cfRule type="expression" dxfId="356" priority="149">
      <formula>AC22+AF22=5</formula>
    </cfRule>
  </conditionalFormatting>
  <conditionalFormatting sqref="AF23:AG23">
    <cfRule type="expression" dxfId="355" priority="147">
      <formula>$M$1="Spend Bonus Points"</formula>
    </cfRule>
  </conditionalFormatting>
  <conditionalFormatting sqref="AF23:AG23">
    <cfRule type="expression" dxfId="354" priority="145">
      <formula>$AF$4+$AC$4&gt;5</formula>
    </cfRule>
    <cfRule type="expression" dxfId="353" priority="146">
      <formula>AC23+AF23=5</formula>
    </cfRule>
  </conditionalFormatting>
  <conditionalFormatting sqref="AF24:AG24">
    <cfRule type="expression" dxfId="352" priority="144">
      <formula>$M$1="Spend Bonus Points"</formula>
    </cfRule>
  </conditionalFormatting>
  <conditionalFormatting sqref="AF24:AG24">
    <cfRule type="expression" dxfId="351" priority="142">
      <formula>$AF$4+$AC$4&gt;5</formula>
    </cfRule>
    <cfRule type="expression" dxfId="350" priority="143">
      <formula>AC24+AF24=5</formula>
    </cfRule>
  </conditionalFormatting>
  <conditionalFormatting sqref="AF25:AG25">
    <cfRule type="expression" dxfId="349" priority="141">
      <formula>$M$1="Spend Bonus Points"</formula>
    </cfRule>
  </conditionalFormatting>
  <conditionalFormatting sqref="AF25:AG25">
    <cfRule type="expression" dxfId="348" priority="139">
      <formula>$AF$4+$AC$4&gt;5</formula>
    </cfRule>
    <cfRule type="expression" dxfId="347" priority="140">
      <formula>AC25+AF25=5</formula>
    </cfRule>
  </conditionalFormatting>
  <conditionalFormatting sqref="AF26:AG26">
    <cfRule type="expression" dxfId="346" priority="138">
      <formula>$M$1="Spend Bonus Points"</formula>
    </cfRule>
  </conditionalFormatting>
  <conditionalFormatting sqref="AF26:AG26">
    <cfRule type="expression" dxfId="345" priority="136">
      <formula>$AF$4+$AC$4&gt;5</formula>
    </cfRule>
    <cfRule type="expression" dxfId="344" priority="137">
      <formula>AC26+AF26=5</formula>
    </cfRule>
  </conditionalFormatting>
  <conditionalFormatting sqref="AF27:AG27">
    <cfRule type="expression" dxfId="343" priority="135">
      <formula>$M$1="Spend Bonus Points"</formula>
    </cfRule>
  </conditionalFormatting>
  <conditionalFormatting sqref="AF27:AG27">
    <cfRule type="expression" dxfId="342" priority="133">
      <formula>$AF$4+$AC$4&gt;5</formula>
    </cfRule>
    <cfRule type="expression" dxfId="341" priority="134">
      <formula>AC27+AF27=5</formula>
    </cfRule>
  </conditionalFormatting>
  <conditionalFormatting sqref="AF28:AG28">
    <cfRule type="expression" dxfId="340" priority="132">
      <formula>$M$1="Spend Bonus Points"</formula>
    </cfRule>
  </conditionalFormatting>
  <conditionalFormatting sqref="AF28:AG28">
    <cfRule type="expression" dxfId="339" priority="130">
      <formula>$AF$4+$AC$4&gt;5</formula>
    </cfRule>
    <cfRule type="expression" dxfId="338" priority="131">
      <formula>AC28+AF28=5</formula>
    </cfRule>
  </conditionalFormatting>
  <conditionalFormatting sqref="AF29:AG29">
    <cfRule type="expression" dxfId="337" priority="129">
      <formula>$M$1="Spend Bonus Points"</formula>
    </cfRule>
  </conditionalFormatting>
  <conditionalFormatting sqref="AF29:AG29">
    <cfRule type="expression" dxfId="336" priority="127">
      <formula>$AF$4+$AC$4&gt;5</formula>
    </cfRule>
    <cfRule type="expression" dxfId="335" priority="128">
      <formula>AC29+AF29=5</formula>
    </cfRule>
  </conditionalFormatting>
  <conditionalFormatting sqref="AF30:AG30">
    <cfRule type="expression" dxfId="334" priority="126">
      <formula>$M$1="Spend Bonus Points"</formula>
    </cfRule>
  </conditionalFormatting>
  <conditionalFormatting sqref="AF30:AG30">
    <cfRule type="expression" dxfId="333" priority="124">
      <formula>$AF$4+$AC$4&gt;5</formula>
    </cfRule>
    <cfRule type="expression" dxfId="332" priority="125">
      <formula>AC30+AF30=5</formula>
    </cfRule>
  </conditionalFormatting>
  <conditionalFormatting sqref="AF31:AG31">
    <cfRule type="expression" dxfId="331" priority="123">
      <formula>$M$1="Spend Bonus Points"</formula>
    </cfRule>
  </conditionalFormatting>
  <conditionalFormatting sqref="AF31:AG31">
    <cfRule type="expression" dxfId="330" priority="121">
      <formula>$AF$4+$AC$4&gt;5</formula>
    </cfRule>
    <cfRule type="expression" dxfId="329" priority="122">
      <formula>AC31+AF31=5</formula>
    </cfRule>
  </conditionalFormatting>
  <conditionalFormatting sqref="AF32:AG32">
    <cfRule type="expression" dxfId="328" priority="120">
      <formula>$M$1="Spend Bonus Points"</formula>
    </cfRule>
  </conditionalFormatting>
  <conditionalFormatting sqref="AF32:AG32">
    <cfRule type="expression" dxfId="327" priority="118">
      <formula>$AF$4+$AC$4&gt;5</formula>
    </cfRule>
    <cfRule type="expression" dxfId="326" priority="119">
      <formula>AC32+AF32=5</formula>
    </cfRule>
  </conditionalFormatting>
  <conditionalFormatting sqref="AF33:AG33">
    <cfRule type="expression" dxfId="325" priority="117">
      <formula>$M$1="Spend Bonus Points"</formula>
    </cfRule>
  </conditionalFormatting>
  <conditionalFormatting sqref="AF33:AG33">
    <cfRule type="expression" dxfId="324" priority="115">
      <formula>$AF$4+$AC$4&gt;5</formula>
    </cfRule>
    <cfRule type="expression" dxfId="323" priority="116">
      <formula>AC33+AF33=5</formula>
    </cfRule>
  </conditionalFormatting>
  <conditionalFormatting sqref="AN6:AS33">
    <cfRule type="notContainsBlanks" dxfId="322" priority="114">
      <formula>LEN(TRIM(AN6))&gt;0</formula>
    </cfRule>
  </conditionalFormatting>
  <conditionalFormatting sqref="AU4:AV4">
    <cfRule type="expression" dxfId="321" priority="113">
      <formula>$AU$4+$AU$3&gt;12</formula>
    </cfRule>
  </conditionalFormatting>
  <conditionalFormatting sqref="BQ4:BR4">
    <cfRule type="expression" dxfId="320" priority="109">
      <formula>OR(BQ4+BO4+BM4&gt;$AU$3+AU4-1,BQ4+BM4+BO4&gt;BK4)</formula>
    </cfRule>
    <cfRule type="expression" dxfId="319" priority="110">
      <formula>OR(BQ4+BO4+BM4=$AU$3+AU4-1,BQ4+BM4+BO4=BK4)</formula>
    </cfRule>
  </conditionalFormatting>
  <conditionalFormatting sqref="BQ5:BR5">
    <cfRule type="expression" dxfId="318" priority="108">
      <formula>$M$1="Spend Bonus Points"</formula>
    </cfRule>
  </conditionalFormatting>
  <conditionalFormatting sqref="BQ5:BR5">
    <cfRule type="expression" dxfId="317" priority="106">
      <formula>OR(BQ5+BO5+BM5&gt;$AU$3+AU5-1,BQ5+BM5+BO5&gt;BK5)</formula>
    </cfRule>
    <cfRule type="expression" dxfId="316" priority="107">
      <formula>OR(BQ5+BO5+BM5=$AU$3+AU5-1,BQ5+BM5+BO5=BK5)</formula>
    </cfRule>
  </conditionalFormatting>
  <conditionalFormatting sqref="BQ6:BR6">
    <cfRule type="expression" dxfId="315" priority="105">
      <formula>$M$1="Spend Bonus Points"</formula>
    </cfRule>
  </conditionalFormatting>
  <conditionalFormatting sqref="BQ6:BR6">
    <cfRule type="expression" dxfId="314" priority="103">
      <formula>OR(BQ6+BO6+BM6&gt;$AU$3+AU6-1,BQ6+BM6+BO6&gt;BK6)</formula>
    </cfRule>
    <cfRule type="expression" dxfId="313" priority="104">
      <formula>OR(BQ6+BO6+BM6=$AU$3+AU6-1,BQ6+BM6+BO6=BK6)</formula>
    </cfRule>
  </conditionalFormatting>
  <conditionalFormatting sqref="BQ7:BR7">
    <cfRule type="expression" dxfId="312" priority="102">
      <formula>$M$1="Spend Bonus Points"</formula>
    </cfRule>
  </conditionalFormatting>
  <conditionalFormatting sqref="BQ7:BR7">
    <cfRule type="expression" dxfId="311" priority="100">
      <formula>OR(BQ7+BO7+BM7&gt;$AU$3+AU7-1,BQ7+BM7+BO7&gt;BK7)</formula>
    </cfRule>
    <cfRule type="expression" dxfId="310" priority="101">
      <formula>OR(BQ7+BO7+BM7=$AU$3+AU7-1,BQ7+BM7+BO7=BK7)</formula>
    </cfRule>
  </conditionalFormatting>
  <conditionalFormatting sqref="BQ8:BR8">
    <cfRule type="expression" dxfId="309" priority="99">
      <formula>$M$1="Spend Bonus Points"</formula>
    </cfRule>
  </conditionalFormatting>
  <conditionalFormatting sqref="BQ8:BR8">
    <cfRule type="expression" dxfId="308" priority="97">
      <formula>OR(BQ8+BO8+BM8&gt;$AU$3+AU8-1,BQ8+BM8+BO8&gt;BK8)</formula>
    </cfRule>
    <cfRule type="expression" dxfId="307" priority="98">
      <formula>OR(BQ8+BO8+BM8=$AU$3+AU8-1,BQ8+BM8+BO8=BK8)</formula>
    </cfRule>
  </conditionalFormatting>
  <conditionalFormatting sqref="BQ9:BR9">
    <cfRule type="expression" dxfId="306" priority="96">
      <formula>$M$1="Spend Bonus Points"</formula>
    </cfRule>
  </conditionalFormatting>
  <conditionalFormatting sqref="BQ9:BR9">
    <cfRule type="expression" dxfId="305" priority="94">
      <formula>OR(BQ9+BO9+BM9&gt;$AU$3+AU9-1,BQ9+BM9+BO9&gt;BK9)</formula>
    </cfRule>
    <cfRule type="expression" dxfId="304" priority="95">
      <formula>OR(BQ9+BO9+BM9=$AU$3+AU9-1,BQ9+BM9+BO9=BK9)</formula>
    </cfRule>
  </conditionalFormatting>
  <conditionalFormatting sqref="BQ10:BR10">
    <cfRule type="expression" dxfId="303" priority="93">
      <formula>$M$1="Spend Bonus Points"</formula>
    </cfRule>
  </conditionalFormatting>
  <conditionalFormatting sqref="BQ10:BR10">
    <cfRule type="expression" dxfId="302" priority="91">
      <formula>OR(BQ10+BO10+BM10&gt;$AU$3+AU10-1,BQ10+BM10+BO10&gt;BK10)</formula>
    </cfRule>
    <cfRule type="expression" dxfId="301" priority="92">
      <formula>OR(BQ10+BO10+BM10=$AU$3+AU10-1,BQ10+BM10+BO10=BK10)</formula>
    </cfRule>
  </conditionalFormatting>
  <conditionalFormatting sqref="BQ11:BR11">
    <cfRule type="expression" dxfId="300" priority="90">
      <formula>$M$1="Spend Bonus Points"</formula>
    </cfRule>
  </conditionalFormatting>
  <conditionalFormatting sqref="BQ11:BR11">
    <cfRule type="expression" dxfId="299" priority="88">
      <formula>OR(BQ11+BO11+BM11&gt;$AU$3+AU11-1,BQ11+BM11+BO11&gt;BK11)</formula>
    </cfRule>
    <cfRule type="expression" dxfId="298" priority="89">
      <formula>OR(BQ11+BO11+BM11=$AU$3+AU11-1,BQ11+BM11+BO11=BK11)</formula>
    </cfRule>
  </conditionalFormatting>
  <conditionalFormatting sqref="BQ12:BR12">
    <cfRule type="expression" dxfId="297" priority="87">
      <formula>$M$1="Spend Bonus Points"</formula>
    </cfRule>
  </conditionalFormatting>
  <conditionalFormatting sqref="BQ12:BR12">
    <cfRule type="expression" dxfId="296" priority="85">
      <formula>OR(BQ12+BO12+BM12&gt;$AU$3+AU12-1,BQ12+BM12+BO12&gt;BK12)</formula>
    </cfRule>
    <cfRule type="expression" dxfId="295" priority="86">
      <formula>OR(BQ12+BO12+BM12=$AU$3+AU12-1,BQ12+BM12+BO12=BK12)</formula>
    </cfRule>
  </conditionalFormatting>
  <conditionalFormatting sqref="BN21">
    <cfRule type="expression" dxfId="294" priority="83">
      <formula>BN21+BM21&gt;3</formula>
    </cfRule>
    <cfRule type="expression" dxfId="293" priority="84">
      <formula>BM21+BN21=3</formula>
    </cfRule>
  </conditionalFormatting>
  <conditionalFormatting sqref="BO21">
    <cfRule type="expression" dxfId="292" priority="81">
      <formula>BM21+BN21+BO21&gt;5</formula>
    </cfRule>
    <cfRule type="expression" dxfId="291" priority="82">
      <formula>BM21+BN21+BO21=5</formula>
    </cfRule>
  </conditionalFormatting>
  <conditionalFormatting sqref="BN22:BO22">
    <cfRule type="expression" dxfId="290" priority="45">
      <formula>$M$1="Spend Bonus Points"</formula>
    </cfRule>
  </conditionalFormatting>
  <conditionalFormatting sqref="BN22">
    <cfRule type="expression" dxfId="289" priority="43">
      <formula>BN22+BM22&gt;3</formula>
    </cfRule>
    <cfRule type="expression" dxfId="288" priority="44">
      <formula>BM22+BN22=3</formula>
    </cfRule>
  </conditionalFormatting>
  <conditionalFormatting sqref="BO22">
    <cfRule type="expression" dxfId="287" priority="41">
      <formula>BM22+BN22+BO22&gt;5</formula>
    </cfRule>
    <cfRule type="expression" dxfId="286" priority="42">
      <formula>BM22+BN22+BO22=5</formula>
    </cfRule>
  </conditionalFormatting>
  <conditionalFormatting sqref="BN23:BO23">
    <cfRule type="expression" dxfId="285" priority="40">
      <formula>$M$1="Spend Bonus Points"</formula>
    </cfRule>
  </conditionalFormatting>
  <conditionalFormatting sqref="BN23">
    <cfRule type="expression" dxfId="284" priority="38">
      <formula>BN23+BM23&gt;3</formula>
    </cfRule>
    <cfRule type="expression" dxfId="283" priority="39">
      <formula>BM23+BN23=3</formula>
    </cfRule>
  </conditionalFormatting>
  <conditionalFormatting sqref="BO23">
    <cfRule type="expression" dxfId="282" priority="36">
      <formula>BM23+BN23+BO23&gt;5</formula>
    </cfRule>
    <cfRule type="expression" dxfId="281" priority="37">
      <formula>BM23+BN23+BO23=5</formula>
    </cfRule>
  </conditionalFormatting>
  <conditionalFormatting sqref="BN24:BO24">
    <cfRule type="expression" dxfId="280" priority="35">
      <formula>$M$1="Spend Bonus Points"</formula>
    </cfRule>
  </conditionalFormatting>
  <conditionalFormatting sqref="BN24">
    <cfRule type="expression" dxfId="279" priority="33">
      <formula>BN24+BM24&gt;3</formula>
    </cfRule>
    <cfRule type="expression" dxfId="278" priority="34">
      <formula>BM24+BN24=3</formula>
    </cfRule>
  </conditionalFormatting>
  <conditionalFormatting sqref="BO24">
    <cfRule type="expression" dxfId="277" priority="31">
      <formula>BM24+BN24+BO24&gt;5</formula>
    </cfRule>
    <cfRule type="expression" dxfId="276" priority="32">
      <formula>BM24+BN24+BO24=5</formula>
    </cfRule>
  </conditionalFormatting>
  <conditionalFormatting sqref="BN25:BO25">
    <cfRule type="expression" dxfId="275" priority="30">
      <formula>$M$1="Spend Bonus Points"</formula>
    </cfRule>
  </conditionalFormatting>
  <conditionalFormatting sqref="BN25">
    <cfRule type="expression" dxfId="274" priority="28">
      <formula>BN25+BM25&gt;3</formula>
    </cfRule>
    <cfRule type="expression" dxfId="273" priority="29">
      <formula>BM25+BN25=3</formula>
    </cfRule>
  </conditionalFormatting>
  <conditionalFormatting sqref="BO25">
    <cfRule type="expression" dxfId="272" priority="26">
      <formula>BM25+BN25+BO25&gt;5</formula>
    </cfRule>
    <cfRule type="expression" dxfId="271" priority="27">
      <formula>BM25+BN25+BO25=5</formula>
    </cfRule>
  </conditionalFormatting>
  <conditionalFormatting sqref="BN26:BO26">
    <cfRule type="expression" dxfId="270" priority="25">
      <formula>$M$1="Spend Bonus Points"</formula>
    </cfRule>
  </conditionalFormatting>
  <conditionalFormatting sqref="BN26">
    <cfRule type="expression" dxfId="269" priority="23">
      <formula>BN26+BM26&gt;3</formula>
    </cfRule>
    <cfRule type="expression" dxfId="268" priority="24">
      <formula>BM26+BN26=3</formula>
    </cfRule>
  </conditionalFormatting>
  <conditionalFormatting sqref="BO26">
    <cfRule type="expression" dxfId="267" priority="21">
      <formula>BM26+BN26+BO26&gt;5</formula>
    </cfRule>
    <cfRule type="expression" dxfId="266" priority="22">
      <formula>BM26+BN26+BO26=5</formula>
    </cfRule>
  </conditionalFormatting>
  <conditionalFormatting sqref="BN27:BO27">
    <cfRule type="expression" dxfId="265" priority="20">
      <formula>$M$1="Spend Bonus Points"</formula>
    </cfRule>
  </conditionalFormatting>
  <conditionalFormatting sqref="BN27">
    <cfRule type="expression" dxfId="264" priority="18">
      <formula>BN27+BM27&gt;3</formula>
    </cfRule>
    <cfRule type="expression" dxfId="263" priority="19">
      <formula>BM27+BN27=3</formula>
    </cfRule>
  </conditionalFormatting>
  <conditionalFormatting sqref="BO27">
    <cfRule type="expression" dxfId="262" priority="16">
      <formula>BM27+BN27+BO27&gt;5</formula>
    </cfRule>
    <cfRule type="expression" dxfId="261" priority="17">
      <formula>BM27+BN27+BO27=5</formula>
    </cfRule>
  </conditionalFormatting>
  <conditionalFormatting sqref="BN28:BO28">
    <cfRule type="expression" dxfId="260" priority="15">
      <formula>$M$1="Spend Bonus Points"</formula>
    </cfRule>
  </conditionalFormatting>
  <conditionalFormatting sqref="BN28">
    <cfRule type="expression" dxfId="259" priority="13">
      <formula>BN28+BM28&gt;3</formula>
    </cfRule>
    <cfRule type="expression" dxfId="258" priority="14">
      <formula>BM28+BN28=3</formula>
    </cfRule>
  </conditionalFormatting>
  <conditionalFormatting sqref="BO28">
    <cfRule type="expression" dxfId="257" priority="11">
      <formula>BM28+BN28+BO28&gt;5</formula>
    </cfRule>
    <cfRule type="expression" dxfId="256" priority="12">
      <formula>BM28+BN28+BO28=5</formula>
    </cfRule>
  </conditionalFormatting>
  <conditionalFormatting sqref="I19:L21 I25:L27 I31:L33 S30:T33 W30:X30 AF4:AG33 AN6:AS33 AU4:AV4 AW4:BC46 BN32:BO39 BN21:BO28 BQ4:BR12">
    <cfRule type="expression" dxfId="255" priority="10">
      <formula>$M$45&lt;0</formula>
    </cfRule>
  </conditionalFormatting>
  <conditionalFormatting sqref="A3:AB3 E25:AB26 A24:L24 A30:AB30 E27:L28 Y27:AB28 A44:H46 A38:D38 A43:L43 Q39:BT39 M44:BM46 E39:L42 M38:P38 E29:AB29 E19:L23 A18:D18 M18:AB18 Y16:AB17 A14:AB15 S12 Q43:BM43 BP40:BT46 Q40:BH42 BM40:BM42 E31:AB33 BO13:BT17 BK4:BT12 BI3:BJ3 E34:X35 AU3:AV3 A4:AI4 AW5:BH5 AU4:BH4 AN13:BL13 Q19:AB24 AN21:BT23 AN6:BH12 AN14:BH20 A5:AB11 AF5:AI23 AF32:BT38 AF29:BH31 AF24:BT28 Y12:AB13 CC1:CF2 E12:E13">
    <cfRule type="expression" dxfId="254" priority="4">
      <formula>$M$1="You're Done!"</formula>
    </cfRule>
  </conditionalFormatting>
  <conditionalFormatting sqref="BI21:BM28 BI32:BM39">
    <cfRule type="expression" dxfId="253" priority="5">
      <formula>$BM$41&lt;0</formula>
    </cfRule>
    <cfRule type="notContainsBlanks" dxfId="252" priority="6">
      <formula>LEN(TRIM(BI21))&gt;0</formula>
    </cfRule>
    <cfRule type="expression" dxfId="251" priority="7">
      <formula>$M$1="Select Birthrights"</formula>
    </cfRule>
  </conditionalFormatting>
  <conditionalFormatting sqref="AC5:AE33">
    <cfRule type="expression" dxfId="250" priority="3">
      <formula>$M$1="You're Done!"</formula>
    </cfRule>
  </conditionalFormatting>
  <conditionalFormatting sqref="S13">
    <cfRule type="expression" dxfId="249" priority="2">
      <formula>$M$1="Select Your Nature"</formula>
    </cfRule>
  </conditionalFormatting>
  <conditionalFormatting sqref="S13">
    <cfRule type="expression" dxfId="248" priority="1">
      <formula>$M$1="You're Done!"</formula>
    </cfRule>
  </conditionalFormatting>
  <dataValidations count="6">
    <dataValidation type="list" allowBlank="1" showInputMessage="1" showErrorMessage="1" sqref="BG4:BG46">
      <formula1>Test</formula1>
    </dataValidation>
    <dataValidation type="list" allowBlank="1" showInputMessage="1" showErrorMessage="1" sqref="AW4:BB46">
      <formula1>Purviews</formula1>
    </dataValidation>
    <dataValidation type="list" allowBlank="1" showInputMessage="1" showErrorMessage="1" sqref="E22:H22 E28:H28 E34:H34">
      <formula1>Priority</formula1>
    </dataValidation>
    <dataValidation type="list" allowBlank="1" showInputMessage="1" showErrorMessage="1" sqref="AN6:AS33">
      <formula1>Knack</formula1>
    </dataValidation>
    <dataValidation type="list" allowBlank="1" showInputMessage="1" showErrorMessage="1" sqref="Y24:AB33">
      <formula1>Special</formula1>
    </dataValidation>
    <dataValidation type="list" allowBlank="1" showInputMessage="1" showErrorMessage="1" sqref="S13">
      <formula1>Natures</formula1>
    </dataValidation>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sheetPr>
  <dimension ref="A1:CG75"/>
  <sheetViews>
    <sheetView view="pageBreakPreview" zoomScale="75" zoomScaleNormal="100" zoomScaleSheetLayoutView="75" workbookViewId="0">
      <selection activeCell="AF17" sqref="AF17:AG17"/>
    </sheetView>
  </sheetViews>
  <sheetFormatPr defaultRowHeight="15" x14ac:dyDescent="0.25"/>
  <cols>
    <col min="1" max="72" width="3.7109375" style="28" customWidth="1"/>
    <col min="73" max="73" width="14.5703125" style="28" hidden="1" customWidth="1"/>
    <col min="74" max="74" width="2.42578125" style="28" hidden="1" customWidth="1"/>
    <col min="75" max="75" width="14.5703125" style="28" hidden="1" customWidth="1"/>
    <col min="76" max="76" width="2.42578125" style="28" hidden="1" customWidth="1"/>
    <col min="77" max="77" width="12.7109375" style="28" hidden="1" customWidth="1"/>
    <col min="78" max="85" width="0" style="28" hidden="1" customWidth="1"/>
    <col min="86" max="16384" width="9.140625" style="28"/>
  </cols>
  <sheetData>
    <row r="1" spans="1:85" ht="15.75" customHeight="1" thickBot="1" x14ac:dyDescent="0.3">
      <c r="A1" s="513" t="s">
        <v>153</v>
      </c>
      <c r="B1" s="514"/>
      <c r="C1" s="514"/>
      <c r="D1" s="514"/>
      <c r="E1" s="737" t="s">
        <v>140</v>
      </c>
      <c r="F1" s="737"/>
      <c r="G1" s="737"/>
      <c r="H1" s="738"/>
      <c r="I1" s="392" t="s">
        <v>7</v>
      </c>
      <c r="J1" s="391"/>
      <c r="K1" s="391"/>
      <c r="L1" s="391"/>
      <c r="M1" s="391" t="str">
        <f>IF(OR(E22="Select",E28="Select",E34="Select"),"Prioritize Your Attribute Groups",IF(AND(E22="Primary",E23&gt;0),"Select Physical Attributes",IF(AND(E28="primary",E29&gt;0),"Select Social Attributes",IF(AND(E34="Primary",E35&gt;0),"Select Mental Attributes",IF(AND(E22="Secondary",E23&gt;0),"Select Physical Attributes",IF(AND(E28="Secondary",E29&gt;0),"Select Social Attributes",IF(AND(E34="Secondary",E35&gt;0),"Select Mental Attributes",IF(AND(E22="Tertiary",E23&gt;0),"Select Physical Attributes",IF(AND(E28="Tertiary",E29&gt;0),"Select Social Attributes",IF(AND(E34="Tertiary",E35&gt;0),"Select Mental Attributes",IF(BO17="no","Select Advantages",IF(BM42="No","Select Birthrights",IF(M46="No","Spend Bonus Points","You're Done!")))))))))))))</f>
        <v>Prioritize Your Attribute Groups</v>
      </c>
      <c r="N1" s="391"/>
      <c r="O1" s="391"/>
      <c r="P1" s="391"/>
      <c r="Q1" s="391"/>
      <c r="R1" s="391"/>
      <c r="S1" s="391"/>
      <c r="T1" s="391"/>
      <c r="U1" s="391"/>
      <c r="V1" s="391"/>
      <c r="W1" s="391"/>
      <c r="X1" s="409"/>
      <c r="Y1" s="373" t="s">
        <v>69</v>
      </c>
      <c r="Z1" s="374"/>
      <c r="AA1" s="374"/>
      <c r="AB1" s="374"/>
      <c r="AC1" s="374"/>
      <c r="AD1" s="374"/>
      <c r="AE1" s="374"/>
      <c r="AF1" s="374"/>
      <c r="AG1" s="374"/>
      <c r="AH1" s="374"/>
      <c r="AI1" s="374"/>
      <c r="AJ1" s="374"/>
      <c r="AK1" s="374"/>
      <c r="AL1" s="374"/>
      <c r="AM1" s="375"/>
      <c r="AN1" s="373" t="s">
        <v>60</v>
      </c>
      <c r="AO1" s="374"/>
      <c r="AP1" s="374"/>
      <c r="AQ1" s="374"/>
      <c r="AR1" s="374"/>
      <c r="AS1" s="374"/>
      <c r="AT1" s="374"/>
      <c r="AU1" s="374"/>
      <c r="AV1" s="375"/>
      <c r="AW1" s="373" t="s">
        <v>68</v>
      </c>
      <c r="AX1" s="374"/>
      <c r="AY1" s="374"/>
      <c r="AZ1" s="374"/>
      <c r="BA1" s="374"/>
      <c r="BB1" s="374"/>
      <c r="BC1" s="374"/>
      <c r="BD1" s="374"/>
      <c r="BE1" s="374"/>
      <c r="BF1" s="374"/>
      <c r="BG1" s="374"/>
      <c r="BH1" s="375"/>
      <c r="BI1" s="373" t="s">
        <v>67</v>
      </c>
      <c r="BJ1" s="374"/>
      <c r="BK1" s="374"/>
      <c r="BL1" s="374"/>
      <c r="BM1" s="374"/>
      <c r="BN1" s="374"/>
      <c r="BO1" s="374"/>
      <c r="BP1" s="374"/>
      <c r="BQ1" s="374"/>
      <c r="BR1" s="374"/>
      <c r="BS1" s="374"/>
      <c r="BT1" s="375"/>
      <c r="BU1" s="48" t="s">
        <v>931</v>
      </c>
      <c r="BV1" s="171"/>
      <c r="BW1" s="1" t="s">
        <v>934</v>
      </c>
      <c r="BX1" s="171"/>
      <c r="BZ1" s="391" t="s">
        <v>3</v>
      </c>
      <c r="CA1" s="391"/>
      <c r="CB1" s="391"/>
      <c r="CC1" s="391"/>
      <c r="CD1" s="417" t="str">
        <f>Creation!M17</f>
        <v>Select</v>
      </c>
      <c r="CE1" s="417"/>
      <c r="CF1" s="417"/>
      <c r="CG1" s="637"/>
    </row>
    <row r="2" spans="1:85" ht="15.75" customHeight="1" thickBot="1" x14ac:dyDescent="0.3">
      <c r="A2" s="513" t="s">
        <v>154</v>
      </c>
      <c r="B2" s="514"/>
      <c r="C2" s="514"/>
      <c r="D2" s="514"/>
      <c r="E2" s="737" t="s">
        <v>5</v>
      </c>
      <c r="F2" s="737"/>
      <c r="G2" s="737"/>
      <c r="H2" s="738"/>
      <c r="I2" s="396"/>
      <c r="J2" s="395"/>
      <c r="K2" s="395"/>
      <c r="L2" s="395"/>
      <c r="M2" s="395"/>
      <c r="N2" s="395"/>
      <c r="O2" s="395"/>
      <c r="P2" s="395"/>
      <c r="Q2" s="395"/>
      <c r="R2" s="395"/>
      <c r="S2" s="395"/>
      <c r="T2" s="395"/>
      <c r="U2" s="395"/>
      <c r="V2" s="395"/>
      <c r="W2" s="395"/>
      <c r="X2" s="475"/>
      <c r="Y2" s="376"/>
      <c r="Z2" s="377"/>
      <c r="AA2" s="377"/>
      <c r="AB2" s="377"/>
      <c r="AC2" s="377"/>
      <c r="AD2" s="377"/>
      <c r="AE2" s="377"/>
      <c r="AF2" s="377"/>
      <c r="AG2" s="377"/>
      <c r="AH2" s="377"/>
      <c r="AI2" s="377"/>
      <c r="AJ2" s="377"/>
      <c r="AK2" s="377"/>
      <c r="AL2" s="377"/>
      <c r="AM2" s="418"/>
      <c r="AN2" s="376"/>
      <c r="AO2" s="377"/>
      <c r="AP2" s="377"/>
      <c r="AQ2" s="377"/>
      <c r="AR2" s="377"/>
      <c r="AS2" s="377"/>
      <c r="AT2" s="377"/>
      <c r="AU2" s="377"/>
      <c r="AV2" s="418"/>
      <c r="AW2" s="376"/>
      <c r="AX2" s="377"/>
      <c r="AY2" s="377"/>
      <c r="AZ2" s="377"/>
      <c r="BA2" s="377"/>
      <c r="BB2" s="377"/>
      <c r="BC2" s="377"/>
      <c r="BD2" s="377"/>
      <c r="BE2" s="377"/>
      <c r="BF2" s="377"/>
      <c r="BG2" s="377"/>
      <c r="BH2" s="418"/>
      <c r="BI2" s="376"/>
      <c r="BJ2" s="377"/>
      <c r="BK2" s="377"/>
      <c r="BL2" s="377"/>
      <c r="BM2" s="377"/>
      <c r="BN2" s="377"/>
      <c r="BO2" s="377"/>
      <c r="BP2" s="377"/>
      <c r="BQ2" s="377"/>
      <c r="BR2" s="377"/>
      <c r="BS2" s="377"/>
      <c r="BT2" s="418"/>
      <c r="BU2" s="2" t="s">
        <v>35</v>
      </c>
      <c r="BV2" s="171">
        <f>SUM(DotTracking!$T9:$X9,DotTracking!$AR9:$AV9,DotTracking!$BP9:$BT9,DotTracking!CN9:CR9)</f>
        <v>0</v>
      </c>
      <c r="BW2" s="2" t="s">
        <v>40</v>
      </c>
      <c r="BX2" s="171">
        <f>SUM(DotTracking!$T14:$X14,DotTracking!$AR14:$AV15,DotTracking!$BP14:$BT14,DotTracking!CN14:CR14)</f>
        <v>0</v>
      </c>
      <c r="BZ2" s="395" t="s">
        <v>5</v>
      </c>
      <c r="CA2" s="395"/>
      <c r="CB2" s="395"/>
      <c r="CC2" s="395"/>
      <c r="CD2" s="434" t="str">
        <f>Creation!M19</f>
        <v>Select</v>
      </c>
      <c r="CE2" s="434"/>
      <c r="CF2" s="434"/>
      <c r="CG2" s="474"/>
    </row>
    <row r="3" spans="1:85" ht="15" customHeight="1" x14ac:dyDescent="0.25">
      <c r="A3" s="678" t="str">
        <f>IF(M1=Reference!A27,Reference!J15,IF(M1=Reference!A28,Reference!J16,IF(M1=Reference!A29,Reference!J17,IF(M1=Reference!A30,Reference!J18,IF(M1=Reference!A31,Reference!J19,IF(M1=Reference!A32,Reference!J20,IF(M1=Reference!A33,Reference!J21,IF(M1=Reference!A34,Reference!J22,IF(M1=Reference!A35,Reference!J23,IF(M1=Reference!A36,Reference!J24,IF(M1=Reference!A37,Reference!J25,IF(M1=Reference!A38,Reference!J26,IF(M1=Reference!A39,Reference!J27,IF(M1=Reference!A40,Reference!J28))))))))))))))</f>
        <v>You….you made it to God? Really? Ok, well…Go ahead and prioritize your attribute groups again. Just like before, you don't have to pick the same ones and you get 4/3/2 for primary/secondary/tertiary. On to the good stuff!</v>
      </c>
      <c r="B3" s="526"/>
      <c r="C3" s="526"/>
      <c r="D3" s="526"/>
      <c r="E3" s="526"/>
      <c r="F3" s="526"/>
      <c r="G3" s="526"/>
      <c r="H3" s="526"/>
      <c r="I3" s="526"/>
      <c r="J3" s="526"/>
      <c r="K3" s="526"/>
      <c r="L3" s="526"/>
      <c r="M3" s="526"/>
      <c r="N3" s="526"/>
      <c r="O3" s="526"/>
      <c r="P3" s="526"/>
      <c r="Q3" s="526"/>
      <c r="R3" s="526"/>
      <c r="S3" s="526"/>
      <c r="T3" s="526"/>
      <c r="U3" s="526"/>
      <c r="V3" s="526"/>
      <c r="W3" s="526"/>
      <c r="X3" s="651"/>
      <c r="Y3" s="680"/>
      <c r="Z3" s="417"/>
      <c r="AA3" s="417"/>
      <c r="AB3" s="417"/>
      <c r="AC3" s="391" t="s">
        <v>10</v>
      </c>
      <c r="AD3" s="391"/>
      <c r="AE3" s="391"/>
      <c r="AF3" s="391" t="s">
        <v>11</v>
      </c>
      <c r="AG3" s="391"/>
      <c r="AH3" s="391" t="s">
        <v>33</v>
      </c>
      <c r="AI3" s="391"/>
      <c r="AJ3" s="391" t="s">
        <v>34</v>
      </c>
      <c r="AK3" s="391"/>
      <c r="AL3" s="391"/>
      <c r="AM3" s="409"/>
      <c r="AN3" s="392" t="s">
        <v>61</v>
      </c>
      <c r="AO3" s="391"/>
      <c r="AP3" s="391"/>
      <c r="AQ3" s="391"/>
      <c r="AR3" s="391"/>
      <c r="AS3" s="391"/>
      <c r="AT3" s="391"/>
      <c r="AU3" s="417">
        <f>SUM(DotTracking!D4:O4,DotTracking!AB4:AM4,DotTracking!AZ4:BK4,DotTracking!BX4:CI4)</f>
        <v>2</v>
      </c>
      <c r="AV3" s="637"/>
      <c r="AW3" s="392" t="s">
        <v>70</v>
      </c>
      <c r="AX3" s="391"/>
      <c r="AY3" s="391"/>
      <c r="AZ3" s="391"/>
      <c r="BA3" s="391"/>
      <c r="BB3" s="391"/>
      <c r="BC3" s="391" t="s">
        <v>71</v>
      </c>
      <c r="BD3" s="391"/>
      <c r="BE3" s="391" t="s">
        <v>157</v>
      </c>
      <c r="BF3" s="391"/>
      <c r="BG3" s="391" t="s">
        <v>11</v>
      </c>
      <c r="BH3" s="409"/>
      <c r="BI3" s="680"/>
      <c r="BJ3" s="417"/>
      <c r="BK3" s="391" t="s">
        <v>65</v>
      </c>
      <c r="BL3" s="391"/>
      <c r="BM3" s="391" t="s">
        <v>151</v>
      </c>
      <c r="BN3" s="391"/>
      <c r="BO3" s="391" t="s">
        <v>152</v>
      </c>
      <c r="BP3" s="391"/>
      <c r="BQ3" s="391" t="s">
        <v>11</v>
      </c>
      <c r="BR3" s="391"/>
      <c r="BS3" s="391" t="s">
        <v>33</v>
      </c>
      <c r="BT3" s="409"/>
      <c r="BU3" s="2" t="s">
        <v>36</v>
      </c>
      <c r="BV3" s="171">
        <f>SUM(DotTracking!$T10:$X10,DotTracking!$AR10:$AV10,DotTracking!$BP10:$BT10,DotTracking!CN10:CR10)</f>
        <v>0</v>
      </c>
      <c r="BW3" s="2" t="s">
        <v>56</v>
      </c>
      <c r="BX3" s="171">
        <f>SUM(IF(DotTracking!P29="Control",DotTracking!T29:X29,0),IF(DotTracking!AN29="Control",DotTracking!AR29:AV29,0),IF(DotTracking!BL29="Control",DotTracking!BP29:BT29,0),IF(DotTracking!P30="Control",DotTracking!T30:X30,0),IF(DotTracking!AN30="Control",DotTracking!AR30:AV30,0),IF(DotTracking!BL30="Control",DotTracking!BP30:BT30,0),IF(DotTracking!P32="Control",DotTracking!T32:X32,0),IF(DotTracking!AN32="Control",DotTracking!AR32:AV32,0),IF(DotTracking!BL32="Control",DotTracking!BP32:BT32,0),IF(DotTracking!P31="Control",DotTracking!T31:X31,0),IF(DotTracking!AN31="Control",DotTracking!AR31:AV31,0),IF(DotTracking!BL31="Control",DotTracking!BP31:BT31,0),IF(DotTracking!P33="Control",DotTracking!T33:X33,0),IF(DotTracking!AN33="Control",DotTracking!AR33:AV33,0),IF(DotTracking!BL33="Control",DotTracking!BP33:BT33,0),IF(DotTracking!P34="Control",DotTracking!T34:X34,0),IF(DotTracking!AN34="Control",DotTracking!AR34:AV34,0),IF(DotTracking!BL34="Control",DotTracking!BP34:BT34,0),IF(DotTracking!P35="Control",DotTracking!T35:X35,0),IF(DotTracking!AN35="Control",DotTracking!AR35:AV35,0),IF(DotTracking!BL35="Control",DotTracking!BP35:BT35,0),IF(DotTracking!P36="Control",DotTracking!T36:X36,0),IF(DotTracking!AN36="Control",DotTracking!AR36:AV36,0),IF(DotTracking!BL36="Control",DotTracking!BP36:BT36,0),IF(DotTracking!P37="Control",DotTracking!T37:X37,0),IF(DotTracking!AN37="Control",DotTracking!AR37:AV37,0),IF(DotTracking!BL37="Control",DotTracking!BP37:BT37,0),IF(DotTracking!P38="Control",DotTracking!T38:X38,0),IF(DotTracking!AN38="Control",DotTracking!AR38:AV38,0),IF(DotTracking!BL38="Control",DotTracking!BP38:BT38,0),IF(DotTracking!CJ29="Control",DotTracking!CN29:CR29,0),IF(DotTracking!CJ30="Control",DotTracking!CN30:CR30,0),IF(DotTracking!CJ31="Control",DotTracking!CN31:CR31,0),IF(DotTracking!CJ32="Control",DotTracking!CN32:CR32,0),IF(DotTracking!CJ33="Control",DotTracking!CN33:CR33,0),IF(DotTracking!CJ34="Control",DotTracking!CN34:CR34,0),IF(DotTracking!CJ35="Control",DotTracking!CN35:CR35,0),IF(DotTracking!CJ36="Control",DotTracking!CN36:CR36,0),IF(DotTracking!CJ37="Control",DotTracking!CN37:CR37,0),IF(DotTracking!CJ38="Control",DotTracking!CN38:CR38,0),0)</f>
        <v>0</v>
      </c>
      <c r="BY3" s="171" t="s">
        <v>937</v>
      </c>
    </row>
    <row r="4" spans="1:85" ht="15.75" thickBot="1" x14ac:dyDescent="0.3">
      <c r="A4" s="536"/>
      <c r="B4" s="535"/>
      <c r="C4" s="535"/>
      <c r="D4" s="535"/>
      <c r="E4" s="535"/>
      <c r="F4" s="535"/>
      <c r="G4" s="535"/>
      <c r="H4" s="535"/>
      <c r="I4" s="535"/>
      <c r="J4" s="535"/>
      <c r="K4" s="535"/>
      <c r="L4" s="535"/>
      <c r="M4" s="535"/>
      <c r="N4" s="535"/>
      <c r="O4" s="535"/>
      <c r="P4" s="535"/>
      <c r="Q4" s="535"/>
      <c r="R4" s="535"/>
      <c r="S4" s="535"/>
      <c r="T4" s="535"/>
      <c r="U4" s="535"/>
      <c r="V4" s="535"/>
      <c r="W4" s="535"/>
      <c r="X4" s="652"/>
      <c r="Y4" s="393" t="s">
        <v>35</v>
      </c>
      <c r="Z4" s="389"/>
      <c r="AA4" s="389"/>
      <c r="AB4" s="389"/>
      <c r="AC4" s="356">
        <f>SUM(DotTracking!T9:X9,DotTracking!AR9:AV9,DotTracking!BP9:BT9,DotTracking!CN9:CR9,DotTracking!ES7:EW7,DotTracking!FB7:FF7,DotTracking!FK7:FO7,DotTracking!FT7:FX7,DotTracking!GC7:GG7)</f>
        <v>0</v>
      </c>
      <c r="AD4" s="356"/>
      <c r="AE4" s="356"/>
      <c r="AF4" s="363"/>
      <c r="AG4" s="363"/>
      <c r="AH4" s="356">
        <f>IF(OR(Y4=Q$19,Y4=Q$20,Y4=Q$21,Y4=Q$22,Y4=Q$23,Y4=Q$24),AF4,AF4*2)</f>
        <v>0</v>
      </c>
      <c r="AI4" s="356"/>
      <c r="AJ4" s="712"/>
      <c r="AK4" s="712"/>
      <c r="AL4" s="712"/>
      <c r="AM4" s="713"/>
      <c r="AN4" s="396" t="s">
        <v>80</v>
      </c>
      <c r="AO4" s="395"/>
      <c r="AP4" s="395"/>
      <c r="AQ4" s="395"/>
      <c r="AR4" s="395"/>
      <c r="AS4" s="395"/>
      <c r="AT4" s="395"/>
      <c r="AU4" s="724"/>
      <c r="AV4" s="725"/>
      <c r="AW4" s="362"/>
      <c r="AX4" s="363"/>
      <c r="AY4" s="363"/>
      <c r="AZ4" s="363"/>
      <c r="BA4" s="363"/>
      <c r="BB4" s="363"/>
      <c r="BC4" s="240"/>
      <c r="BD4" s="146">
        <f>IF(BG4="No",BC4,0)</f>
        <v>0</v>
      </c>
      <c r="BE4" s="356" t="str">
        <f>IF(AW4="","",HLOOKUP(AW4,AssociatedRef!$AP$1:$BZ$123,LOOKUP($CD$2,AssociatedRef!$AP$2:$AP$123,AssociatedRef!$AQ$2:$AQ$123),FALSE))</f>
        <v/>
      </c>
      <c r="BF4" s="356"/>
      <c r="BG4" s="161" t="s">
        <v>361</v>
      </c>
      <c r="BH4" s="149" t="str">
        <f>IF(BG4="Yes",IF(BE4="Yes",4,5),"")</f>
        <v/>
      </c>
      <c r="BI4" s="393" t="s">
        <v>938</v>
      </c>
      <c r="BJ4" s="389"/>
      <c r="BK4" s="356">
        <f>SUM(E19:H19)</f>
        <v>1</v>
      </c>
      <c r="BL4" s="356"/>
      <c r="BM4" s="356">
        <f>SUM(DotTracking!AC16:AM16,DotTracking!E16:O16,DotTracking!BA16:BK16,DotTracking!BY16:CI16)</f>
        <v>0</v>
      </c>
      <c r="BN4" s="356"/>
      <c r="BO4" s="363"/>
      <c r="BP4" s="363"/>
      <c r="BQ4" s="363"/>
      <c r="BR4" s="363"/>
      <c r="BS4" s="356">
        <f>IF(LOOKUP($CD$2,AssociatedRef!$A$2:$A$123,AssociatedRef!$B$2:$B$123)="Yes",BQ4*4,BQ4*5)</f>
        <v>0</v>
      </c>
      <c r="BT4" s="401"/>
      <c r="BU4" s="2" t="s">
        <v>55</v>
      </c>
      <c r="BV4" s="171">
        <f>SUM(IF(DotTracking!P29="Art",DotTracking!T29:X29,0),IF(DotTracking!AN29="Art",DotTracking!AR29:AV29,0),IF(DotTracking!BL29="Art",DotTracking!BP29:BT29,0),IF(DotTracking!P30="Art",DotTracking!T30:X30,0),IF(DotTracking!AN30="Art",DotTracking!AR30:AV30,0),IF(DotTracking!BL30="Art",DotTracking!BP30:BT30,0),IF(DotTracking!P32="Art",DotTracking!T32:X32,0),IF(DotTracking!AN32="Art",DotTracking!AR32:AV32,0),IF(DotTracking!BL32="Art",DotTracking!BP32:BT32,0),IF(DotTracking!P31="Art",DotTracking!T31:X31,0),IF(DotTracking!AN31="Art",DotTracking!AR31:AV31,0),IF(DotTracking!BL31="Art",DotTracking!BP31:BT31,0),IF(DotTracking!P33="Art",DotTracking!T33:X33,0),IF(DotTracking!AN33="Art",DotTracking!AR33:AV33,0),IF(DotTracking!BL33="Art",DotTracking!BP33:BT33,0),IF(DotTracking!P34="Art",DotTracking!T34:X34,0),IF(DotTracking!AN34="Art",DotTracking!AR34:AV34,0),IF(DotTracking!BL34="Art",DotTracking!BP34:BT34,0),IF(DotTracking!P35="Art",DotTracking!T35:X35,0),IF(DotTracking!AN35="Art",DotTracking!AR35:AV35,0),IF(DotTracking!BL35="Art",DotTracking!BP35:BT35,0),IF(DotTracking!P36="Art",DotTracking!T36:X36,0),IF(DotTracking!AN36="Art",DotTracking!AR36:AV36,0),IF(DotTracking!BL36="Art",DotTracking!BP36:BT36,0),IF(DotTracking!P37="Art",DotTracking!T37:X37,0),IF(DotTracking!AN37="Art",DotTracking!AR37:AV37,0),IF(DotTracking!BL37="Art",DotTracking!BP37:BT37,0),IF(DotTracking!P38="Art",DotTracking!T38:X38,0),IF(DotTracking!AN38="Art",DotTracking!AR38:AV38,0),IF(DotTracking!BL38="Art",DotTracking!BP38:BT38,0),IF(DotTracking!CJ29="Art",DotTracking!CN29:CR29,0),IF(DotTracking!CJ30="Art",DotTracking!CN30:CR30,0),IF(DotTracking!CJ31="Art",DotTracking!CN31:CR31,0),IF(DotTracking!CJ32="Art",DotTracking!CN32:CR32,0),IF(DotTracking!CJ33="Art",DotTracking!CN33:CR33,0),IF(DotTracking!CJ34="Art",DotTracking!CN34:CR34,0),IF(DotTracking!CJ35="Art",DotTracking!CN35:CR35,0),IF(DotTracking!CJ36="Art",DotTracking!CN36:CR36,0),IF(DotTracking!CJ37="Art",DotTracking!CN37:CR37,0),IF(DotTracking!CJ38="Art",DotTracking!CN38:CR38,0),0)</f>
        <v>0</v>
      </c>
      <c r="BW4" s="2" t="s">
        <v>57</v>
      </c>
      <c r="BX4" s="171">
        <f>SUM(IF(DotTracking!P29="Craft",DotTracking!T29:X29,0),IF(DotTracking!AN29="Craft",DotTracking!AR29:AV29,0),IF(DotTracking!BL29="Craft",DotTracking!BP29:BT29,0),IF(DotTracking!P30="Craft",DotTracking!T30:X30,0),IF(DotTracking!AN30="Craft",DotTracking!AR30:AV30,0),IF(DotTracking!BL30="Craft",DotTracking!BP30:BT30,0),IF(DotTracking!P32="Craft",DotTracking!T32:X32,0),IF(DotTracking!AN32="Craft",DotTracking!AR32:AV32,0),IF(DotTracking!BL32="Craft",DotTracking!BP32:BT32,0),IF(DotTracking!P31="Craft",DotTracking!T31:X31,0),IF(DotTracking!AN31="Craft",DotTracking!AR31:AV31,0),IF(DotTracking!BL31="Craft",DotTracking!BP31:BT31,0),IF(DotTracking!P33="Craft",DotTracking!T33:X33,0),IF(DotTracking!AN33="Craft",DotTracking!AR33:AV33,0),IF(DotTracking!BL33="Craft",DotTracking!BP33:BT33,0),IF(DotTracking!P34="Craft",DotTracking!T34:X34,0),IF(DotTracking!AN34="Craft",DotTracking!AR34:AV34,0),IF(DotTracking!BL34="Craft",DotTracking!BP34:BT34,0),IF(DotTracking!P35="Craft",DotTracking!T35:X35,0),IF(DotTracking!AN35="Craft",DotTracking!AR35:AV35,0),IF(DotTracking!BL35="Craft",DotTracking!BP35:BT35,0),IF(DotTracking!P36="Craft",DotTracking!T36:X36,0),IF(DotTracking!AN36="Craft",DotTracking!AR36:AV36,0),IF(DotTracking!BL36="Craft",DotTracking!BP36:BT36,0),IF(DotTracking!P37="Craft",DotTracking!T37:X37,0),IF(DotTracking!AN37="Craft",DotTracking!AR37:AV37,0),IF(DotTracking!BL37="Craft",DotTracking!BP37:BT37,0),IF(DotTracking!P38="Craft",DotTracking!T38:X38,0),IF(DotTracking!AN38="Craft",DotTracking!AR38:AV38,0),IF(DotTracking!BL38="Craft",DotTracking!BP38:BT38,0),IF(DotTracking!CJ29="Craft",DotTracking!CN29:CR29,0),IF(DotTracking!CJ30="Craft",DotTracking!CN30:CR30,0),IF(DotTracking!CJ31="Craft",DotTracking!CN31:CR31,0),IF(DotTracking!CJ32="Craft",DotTracking!CN32:CR32,0),IF(DotTracking!CJ33="Craft",DotTracking!CN33:CR33,0),IF(DotTracking!CJ34="Craft",DotTracking!CN34:CR34,0),IF(DotTracking!CJ35="Craft",DotTracking!CN35:CR35,0),IF(DotTracking!CJ36="Craft",DotTracking!CN36:CR36,0),IF(DotTracking!CJ37="Craft",DotTracking!CN37:CR37,0),IF(DotTracking!CJ38="Craft",DotTracking!CN38:CR38,0),0)</f>
        <v>0</v>
      </c>
      <c r="BY4" s="28">
        <f>IF(BG4="Yes",1,0)</f>
        <v>0</v>
      </c>
    </row>
    <row r="5" spans="1:85" x14ac:dyDescent="0.25">
      <c r="A5" s="536"/>
      <c r="B5" s="535"/>
      <c r="C5" s="535"/>
      <c r="D5" s="535"/>
      <c r="E5" s="535"/>
      <c r="F5" s="535"/>
      <c r="G5" s="535"/>
      <c r="H5" s="535"/>
      <c r="I5" s="535"/>
      <c r="J5" s="535"/>
      <c r="K5" s="535"/>
      <c r="L5" s="535"/>
      <c r="M5" s="535"/>
      <c r="N5" s="535"/>
      <c r="O5" s="535"/>
      <c r="P5" s="535"/>
      <c r="Q5" s="535"/>
      <c r="R5" s="535"/>
      <c r="S5" s="535"/>
      <c r="T5" s="535"/>
      <c r="U5" s="535"/>
      <c r="V5" s="535"/>
      <c r="W5" s="535"/>
      <c r="X5" s="652"/>
      <c r="Y5" s="393" t="s">
        <v>36</v>
      </c>
      <c r="Z5" s="389"/>
      <c r="AA5" s="389"/>
      <c r="AB5" s="389"/>
      <c r="AC5" s="356">
        <f>SUM(DotTracking!T10:X10,DotTracking!AR10:AV10,DotTracking!BP10:BT10,DotTracking!CN10:CR10,DotTracking!ES8:EW8,DotTracking!FB8:FF8,DotTracking!FK8:FO8,DotTracking!FT8:FX8,DotTracking!GC8:GG8)</f>
        <v>0</v>
      </c>
      <c r="AD5" s="356"/>
      <c r="AE5" s="356"/>
      <c r="AF5" s="363"/>
      <c r="AG5" s="363"/>
      <c r="AH5" s="356">
        <f t="shared" ref="AH5:AH33" si="0">IF(OR(Y5=Q$19,Y5=Q$20,Y5=Q$21,Y5=Q$22,Y5=Q$23,Y5=Q$24),AF5,AF5*2)</f>
        <v>0</v>
      </c>
      <c r="AI5" s="356"/>
      <c r="AJ5" s="712"/>
      <c r="AK5" s="712"/>
      <c r="AL5" s="712"/>
      <c r="AM5" s="713"/>
      <c r="AN5" s="392" t="s">
        <v>62</v>
      </c>
      <c r="AO5" s="391"/>
      <c r="AP5" s="391"/>
      <c r="AQ5" s="391"/>
      <c r="AR5" s="391"/>
      <c r="AS5" s="391"/>
      <c r="AT5" s="391" t="s">
        <v>33</v>
      </c>
      <c r="AU5" s="391"/>
      <c r="AV5" s="409"/>
      <c r="AW5" s="362"/>
      <c r="AX5" s="363"/>
      <c r="AY5" s="363"/>
      <c r="AZ5" s="363"/>
      <c r="BA5" s="363"/>
      <c r="BB5" s="363"/>
      <c r="BC5" s="240"/>
      <c r="BD5" s="146">
        <f t="shared" ref="BD5:BD46" si="1">IF(BG5="No",BC5,0)</f>
        <v>0</v>
      </c>
      <c r="BE5" s="356" t="str">
        <f>IF(AW5="","",HLOOKUP(AW5,AssociatedRef!$AP$1:$BZ$123,LOOKUP($CD$2,AssociatedRef!$AP$2:$AP$123,AssociatedRef!$AQ$2:$AQ$123),FALSE))</f>
        <v/>
      </c>
      <c r="BF5" s="356"/>
      <c r="BG5" s="161" t="s">
        <v>361</v>
      </c>
      <c r="BH5" s="149" t="str">
        <f t="shared" ref="BH5:BH46" si="2">IF(BG5="Yes",IF(BE5="Yes",4,5),"")</f>
        <v/>
      </c>
      <c r="BI5" s="393" t="s">
        <v>939</v>
      </c>
      <c r="BJ5" s="389"/>
      <c r="BK5" s="356">
        <f t="shared" ref="BK5:BK6" si="3">SUM(E20:H20)</f>
        <v>1</v>
      </c>
      <c r="BL5" s="356"/>
      <c r="BM5" s="356">
        <f>SUM(DotTracking!AC17:AM17,DotTracking!E17:O17,DotTracking!BA17:BK17,DotTracking!BY17:CI17)</f>
        <v>0</v>
      </c>
      <c r="BN5" s="356"/>
      <c r="BO5" s="363"/>
      <c r="BP5" s="363"/>
      <c r="BQ5" s="363"/>
      <c r="BR5" s="363"/>
      <c r="BS5" s="356">
        <f>IF(LOOKUP($CD$2,AssociatedRef!$A$2:$A$123,AssociatedRef!$C$2:$C$123)="Yes",BQ5*4,BQ5*5)</f>
        <v>0</v>
      </c>
      <c r="BT5" s="401"/>
      <c r="BU5" s="2" t="s">
        <v>37</v>
      </c>
      <c r="BV5" s="171">
        <f>SUM(DotTracking!$T11:$X11,DotTracking!$AR11:$AV12,DotTracking!$BP11:$BT11,DotTracking!CN11:CR11)</f>
        <v>0</v>
      </c>
      <c r="BW5" s="2" t="s">
        <v>41</v>
      </c>
      <c r="BX5" s="171">
        <f>SUM(DotTracking!$T15:$X15,DotTracking!$AR15:$AV15,DotTracking!$BP15:$BT15,DotTracking!CN15:CR15)</f>
        <v>0</v>
      </c>
      <c r="BY5" s="28">
        <f t="shared" ref="BY5:BY46" si="4">IF(BG5="Yes",1,0)</f>
        <v>0</v>
      </c>
    </row>
    <row r="6" spans="1:85" x14ac:dyDescent="0.25">
      <c r="A6" s="536"/>
      <c r="B6" s="535"/>
      <c r="C6" s="535"/>
      <c r="D6" s="535"/>
      <c r="E6" s="535"/>
      <c r="F6" s="535"/>
      <c r="G6" s="535"/>
      <c r="H6" s="535"/>
      <c r="I6" s="535"/>
      <c r="J6" s="535"/>
      <c r="K6" s="535"/>
      <c r="L6" s="535"/>
      <c r="M6" s="535"/>
      <c r="N6" s="535"/>
      <c r="O6" s="535"/>
      <c r="P6" s="535"/>
      <c r="Q6" s="535"/>
      <c r="R6" s="535"/>
      <c r="S6" s="535"/>
      <c r="T6" s="535"/>
      <c r="U6" s="535"/>
      <c r="V6" s="535"/>
      <c r="W6" s="535"/>
      <c r="X6" s="652"/>
      <c r="Y6" s="393" t="s">
        <v>37</v>
      </c>
      <c r="Z6" s="389"/>
      <c r="AA6" s="389"/>
      <c r="AB6" s="389"/>
      <c r="AC6" s="356">
        <f>SUM(DotTracking!T11:X11,DotTracking!AR11:AV11,DotTracking!BP11:BT11,DotTracking!CN11:CR11,DotTracking!ES9:EW9,DotTracking!FB9:FF9,DotTracking!FK9:FO9,DotTracking!FT9:FX9,DotTracking!GC9:GG9)</f>
        <v>0</v>
      </c>
      <c r="AD6" s="356"/>
      <c r="AE6" s="356"/>
      <c r="AF6" s="363"/>
      <c r="AG6" s="363"/>
      <c r="AH6" s="356">
        <f t="shared" si="0"/>
        <v>0</v>
      </c>
      <c r="AI6" s="356"/>
      <c r="AJ6" s="712"/>
      <c r="AK6" s="712"/>
      <c r="AL6" s="712"/>
      <c r="AM6" s="713"/>
      <c r="AN6" s="362"/>
      <c r="AO6" s="363"/>
      <c r="AP6" s="363"/>
      <c r="AQ6" s="363"/>
      <c r="AR6" s="363"/>
      <c r="AS6" s="363"/>
      <c r="AT6" s="356" t="str">
        <f>IF(AN6="","",3)</f>
        <v/>
      </c>
      <c r="AU6" s="356"/>
      <c r="AV6" s="401"/>
      <c r="AW6" s="362"/>
      <c r="AX6" s="363"/>
      <c r="AY6" s="363"/>
      <c r="AZ6" s="363"/>
      <c r="BA6" s="363"/>
      <c r="BB6" s="363"/>
      <c r="BC6" s="240"/>
      <c r="BD6" s="146">
        <f t="shared" si="1"/>
        <v>0</v>
      </c>
      <c r="BE6" s="356" t="str">
        <f>IF(AW6="","",HLOOKUP(AW6,AssociatedRef!$AP$1:$BZ$123,LOOKUP($CD$2,AssociatedRef!$AP$2:$AP$123,AssociatedRef!$AQ$2:$AQ$123),FALSE))</f>
        <v/>
      </c>
      <c r="BF6" s="356"/>
      <c r="BG6" s="161" t="s">
        <v>361</v>
      </c>
      <c r="BH6" s="149" t="str">
        <f t="shared" si="2"/>
        <v/>
      </c>
      <c r="BI6" s="393" t="s">
        <v>940</v>
      </c>
      <c r="BJ6" s="389"/>
      <c r="BK6" s="356">
        <f t="shared" si="3"/>
        <v>1</v>
      </c>
      <c r="BL6" s="356"/>
      <c r="BM6" s="356">
        <f>SUM(DotTracking!AC18:AM18,DotTracking!E18:O18,DotTracking!BA18:BK18,DotTracking!BY18:CI18)</f>
        <v>0</v>
      </c>
      <c r="BN6" s="356"/>
      <c r="BO6" s="363"/>
      <c r="BP6" s="363"/>
      <c r="BQ6" s="363"/>
      <c r="BR6" s="363"/>
      <c r="BS6" s="356">
        <f>IF(LOOKUP($CD$2,AssociatedRef!$A$2:$A$123,AssociatedRef!$D$2:$D$123)="Yes",BQ6*4,BQ6*5)</f>
        <v>0</v>
      </c>
      <c r="BT6" s="401"/>
      <c r="BU6" s="2" t="s">
        <v>38</v>
      </c>
      <c r="BV6" s="171">
        <f>SUM(DotTracking!$T12:$X12,DotTracking!$AR12:$AV13,DotTracking!$BP12:$BT12,DotTracking!CN12:CR12)</f>
        <v>0</v>
      </c>
      <c r="BW6" s="2" t="s">
        <v>42</v>
      </c>
      <c r="BX6" s="171">
        <f>SUM(DotTracking!$T16:$X16,DotTracking!$AR16:$AV16,DotTracking!$BP16:$BT16,DotTracking!CN16:CR16)</f>
        <v>0</v>
      </c>
      <c r="BY6" s="28">
        <f t="shared" si="4"/>
        <v>0</v>
      </c>
    </row>
    <row r="7" spans="1:85" x14ac:dyDescent="0.25">
      <c r="A7" s="536"/>
      <c r="B7" s="535"/>
      <c r="C7" s="535"/>
      <c r="D7" s="535"/>
      <c r="E7" s="535"/>
      <c r="F7" s="535"/>
      <c r="G7" s="535"/>
      <c r="H7" s="535"/>
      <c r="I7" s="535"/>
      <c r="J7" s="535"/>
      <c r="K7" s="535"/>
      <c r="L7" s="535"/>
      <c r="M7" s="535"/>
      <c r="N7" s="535"/>
      <c r="O7" s="535"/>
      <c r="P7" s="535"/>
      <c r="Q7" s="535"/>
      <c r="R7" s="535"/>
      <c r="S7" s="535"/>
      <c r="T7" s="535"/>
      <c r="U7" s="535"/>
      <c r="V7" s="535"/>
      <c r="W7" s="535"/>
      <c r="X7" s="652"/>
      <c r="Y7" s="393" t="s">
        <v>38</v>
      </c>
      <c r="Z7" s="389"/>
      <c r="AA7" s="389"/>
      <c r="AB7" s="389"/>
      <c r="AC7" s="356">
        <f>SUM(DotTracking!T12:X12,DotTracking!AR12:AV12,DotTracking!BP12:BT12,DotTracking!CN12:CR12,DotTracking!ES10:EW10,DotTracking!FB10:FF10,DotTracking!FK10:FO10,DotTracking!FT10:FX10,DotTracking!GC10:GG10)</f>
        <v>0</v>
      </c>
      <c r="AD7" s="356"/>
      <c r="AE7" s="356"/>
      <c r="AF7" s="363"/>
      <c r="AG7" s="363"/>
      <c r="AH7" s="356">
        <f t="shared" si="0"/>
        <v>0</v>
      </c>
      <c r="AI7" s="356"/>
      <c r="AJ7" s="712"/>
      <c r="AK7" s="712"/>
      <c r="AL7" s="712"/>
      <c r="AM7" s="713"/>
      <c r="AN7" s="362"/>
      <c r="AO7" s="363"/>
      <c r="AP7" s="363"/>
      <c r="AQ7" s="363"/>
      <c r="AR7" s="363"/>
      <c r="AS7" s="363"/>
      <c r="AT7" s="356" t="str">
        <f t="shared" ref="AT7:AT33" si="5">IF(AN7="","",3)</f>
        <v/>
      </c>
      <c r="AU7" s="356"/>
      <c r="AV7" s="401"/>
      <c r="AW7" s="362"/>
      <c r="AX7" s="363"/>
      <c r="AY7" s="363"/>
      <c r="AZ7" s="363"/>
      <c r="BA7" s="363"/>
      <c r="BB7" s="363"/>
      <c r="BC7" s="240"/>
      <c r="BD7" s="146">
        <f t="shared" si="1"/>
        <v>0</v>
      </c>
      <c r="BE7" s="356" t="str">
        <f>IF(AW7="","",HLOOKUP(AW7,AssociatedRef!$AP$1:$BZ$123,LOOKUP($CD$2,AssociatedRef!$AP$2:$AP$123,AssociatedRef!$AQ$2:$AQ$123),FALSE))</f>
        <v/>
      </c>
      <c r="BF7" s="356"/>
      <c r="BG7" s="161" t="s">
        <v>361</v>
      </c>
      <c r="BH7" s="149" t="str">
        <f t="shared" si="2"/>
        <v/>
      </c>
      <c r="BI7" s="393" t="s">
        <v>941</v>
      </c>
      <c r="BJ7" s="389"/>
      <c r="BK7" s="356">
        <f>SUM(E25:H25)</f>
        <v>1</v>
      </c>
      <c r="BL7" s="356"/>
      <c r="BM7" s="356">
        <f>SUM(DotTracking!AC19:AM19,DotTracking!E19:O19,DotTracking!BA19:BK19,DotTracking!BY19:CI19)</f>
        <v>0</v>
      </c>
      <c r="BN7" s="356"/>
      <c r="BO7" s="363"/>
      <c r="BP7" s="363"/>
      <c r="BQ7" s="363"/>
      <c r="BR7" s="363"/>
      <c r="BS7" s="356">
        <f>IF(LOOKUP($CD$2,AssociatedRef!$A$2:$A$123,AssociatedRef!$E$2:$E$123)="Yes",BQ7*4,BQ7*5)</f>
        <v>0</v>
      </c>
      <c r="BT7" s="401"/>
      <c r="BU7" s="2" t="s">
        <v>39</v>
      </c>
      <c r="BV7" s="171">
        <f>SUM(DotTracking!$T13:$X13,DotTracking!$AR13:$AV14,DotTracking!$BP13:$BT13,DotTracking!CN13:CR13)</f>
        <v>0</v>
      </c>
      <c r="BW7" s="2" t="s">
        <v>43</v>
      </c>
      <c r="BX7" s="171">
        <f>SUM(DotTracking!$T17:$X17,DotTracking!$AR17:$AV17,DotTracking!$BP17:$BT17,DotTracking!CN17:CR17)</f>
        <v>0</v>
      </c>
      <c r="BY7" s="28">
        <f t="shared" si="4"/>
        <v>0</v>
      </c>
    </row>
    <row r="8" spans="1:85" x14ac:dyDescent="0.25">
      <c r="A8" s="536"/>
      <c r="B8" s="535"/>
      <c r="C8" s="535"/>
      <c r="D8" s="535"/>
      <c r="E8" s="535"/>
      <c r="F8" s="535"/>
      <c r="G8" s="535"/>
      <c r="H8" s="535"/>
      <c r="I8" s="535"/>
      <c r="J8" s="535"/>
      <c r="K8" s="535"/>
      <c r="L8" s="535"/>
      <c r="M8" s="535"/>
      <c r="N8" s="535"/>
      <c r="O8" s="535"/>
      <c r="P8" s="535"/>
      <c r="Q8" s="535"/>
      <c r="R8" s="535"/>
      <c r="S8" s="535"/>
      <c r="T8" s="535"/>
      <c r="U8" s="535"/>
      <c r="V8" s="535"/>
      <c r="W8" s="535"/>
      <c r="X8" s="652"/>
      <c r="Y8" s="393" t="s">
        <v>39</v>
      </c>
      <c r="Z8" s="389"/>
      <c r="AA8" s="389"/>
      <c r="AB8" s="389"/>
      <c r="AC8" s="356">
        <f>SUM(DotTracking!T13:X13,DotTracking!AR13:AV13,DotTracking!BP13:BT13,DotTracking!CN13:CR13,DotTracking!ES11:EW11,DotTracking!FB11:FF11,DotTracking!FK11:FO11,DotTracking!FT11:FX11,DotTracking!GC11:GG11)</f>
        <v>0</v>
      </c>
      <c r="AD8" s="356"/>
      <c r="AE8" s="356"/>
      <c r="AF8" s="363"/>
      <c r="AG8" s="363"/>
      <c r="AH8" s="356">
        <f t="shared" si="0"/>
        <v>0</v>
      </c>
      <c r="AI8" s="356"/>
      <c r="AJ8" s="712"/>
      <c r="AK8" s="712"/>
      <c r="AL8" s="712"/>
      <c r="AM8" s="713"/>
      <c r="AN8" s="362"/>
      <c r="AO8" s="363"/>
      <c r="AP8" s="363"/>
      <c r="AQ8" s="363"/>
      <c r="AR8" s="363"/>
      <c r="AS8" s="363"/>
      <c r="AT8" s="356" t="str">
        <f t="shared" si="5"/>
        <v/>
      </c>
      <c r="AU8" s="356"/>
      <c r="AV8" s="401"/>
      <c r="AW8" s="362"/>
      <c r="AX8" s="363"/>
      <c r="AY8" s="363"/>
      <c r="AZ8" s="363"/>
      <c r="BA8" s="363"/>
      <c r="BB8" s="363"/>
      <c r="BC8" s="240"/>
      <c r="BD8" s="146">
        <f t="shared" si="1"/>
        <v>0</v>
      </c>
      <c r="BE8" s="356" t="str">
        <f>IF(AW8="","",HLOOKUP(AW8,AssociatedRef!$AP$1:$BZ$123,LOOKUP($CD$2,AssociatedRef!$AP$2:$AP$123,AssociatedRef!$AQ$2:$AQ$123),FALSE))</f>
        <v/>
      </c>
      <c r="BF8" s="356"/>
      <c r="BG8" s="161" t="s">
        <v>361</v>
      </c>
      <c r="BH8" s="149" t="str">
        <f t="shared" si="2"/>
        <v/>
      </c>
      <c r="BI8" s="393" t="s">
        <v>942</v>
      </c>
      <c r="BJ8" s="389"/>
      <c r="BK8" s="356">
        <f t="shared" ref="BK8:BK9" si="6">SUM(E26:H26)</f>
        <v>1</v>
      </c>
      <c r="BL8" s="356"/>
      <c r="BM8" s="356">
        <f>SUM(DotTracking!AC20:AM20,DotTracking!E20:O20,DotTracking!BA20:BK20,DotTracking!BY20:CI20)</f>
        <v>0</v>
      </c>
      <c r="BN8" s="356"/>
      <c r="BO8" s="363"/>
      <c r="BP8" s="363"/>
      <c r="BQ8" s="363"/>
      <c r="BR8" s="363"/>
      <c r="BS8" s="356">
        <f>IF(LOOKUP($CD$2,AssociatedRef!$A$2:$A$123,AssociatedRef!$F$2:$F$123)="Yes",BQ8*4,BQ8*5)</f>
        <v>0</v>
      </c>
      <c r="BT8" s="401"/>
      <c r="BU8" s="2" t="s">
        <v>40</v>
      </c>
      <c r="BV8" s="171">
        <f>SUM(DotTracking!$T14:$X14,DotTracking!$AR14:$AV15,DotTracking!$BP14:$BT14,DotTracking!CN14:CR14)</f>
        <v>0</v>
      </c>
      <c r="BW8" s="2" t="s">
        <v>44</v>
      </c>
      <c r="BX8" s="171">
        <f>SUM(DotTracking!$T18:$X18,DotTracking!$AR18:$AV18,DotTracking!$BP18:$BT18,DotTracking!CN18:CR18)</f>
        <v>0</v>
      </c>
      <c r="BY8" s="28">
        <f t="shared" si="4"/>
        <v>0</v>
      </c>
    </row>
    <row r="9" spans="1:85" x14ac:dyDescent="0.25">
      <c r="A9" s="536"/>
      <c r="B9" s="535"/>
      <c r="C9" s="535"/>
      <c r="D9" s="535"/>
      <c r="E9" s="535"/>
      <c r="F9" s="535"/>
      <c r="G9" s="535"/>
      <c r="H9" s="535"/>
      <c r="I9" s="535"/>
      <c r="J9" s="535"/>
      <c r="K9" s="535"/>
      <c r="L9" s="535"/>
      <c r="M9" s="535"/>
      <c r="N9" s="535"/>
      <c r="O9" s="535"/>
      <c r="P9" s="535"/>
      <c r="Q9" s="535"/>
      <c r="R9" s="535"/>
      <c r="S9" s="535"/>
      <c r="T9" s="535"/>
      <c r="U9" s="535"/>
      <c r="V9" s="535"/>
      <c r="W9" s="535"/>
      <c r="X9" s="652"/>
      <c r="Y9" s="393" t="s">
        <v>40</v>
      </c>
      <c r="Z9" s="389"/>
      <c r="AA9" s="389"/>
      <c r="AB9" s="389"/>
      <c r="AC9" s="356">
        <f>SUM(DotTracking!T14:X14,DotTracking!AR14:AV14,DotTracking!BP14:BT14,DotTracking!CN14:CR14,DotTracking!ES12:EW12,DotTracking!FB12:FF12,DotTracking!FK12:FO12,DotTracking!FT12:FX12,DotTracking!GC12:GG12)</f>
        <v>0</v>
      </c>
      <c r="AD9" s="356"/>
      <c r="AE9" s="356"/>
      <c r="AF9" s="363"/>
      <c r="AG9" s="363"/>
      <c r="AH9" s="356">
        <f t="shared" si="0"/>
        <v>0</v>
      </c>
      <c r="AI9" s="356"/>
      <c r="AJ9" s="712"/>
      <c r="AK9" s="712"/>
      <c r="AL9" s="712"/>
      <c r="AM9" s="713"/>
      <c r="AN9" s="362"/>
      <c r="AO9" s="363"/>
      <c r="AP9" s="363"/>
      <c r="AQ9" s="363"/>
      <c r="AR9" s="363"/>
      <c r="AS9" s="363"/>
      <c r="AT9" s="356" t="str">
        <f t="shared" si="5"/>
        <v/>
      </c>
      <c r="AU9" s="356"/>
      <c r="AV9" s="401"/>
      <c r="AW9" s="362"/>
      <c r="AX9" s="363"/>
      <c r="AY9" s="363"/>
      <c r="AZ9" s="363"/>
      <c r="BA9" s="363"/>
      <c r="BB9" s="363"/>
      <c r="BC9" s="240"/>
      <c r="BD9" s="146">
        <f t="shared" si="1"/>
        <v>0</v>
      </c>
      <c r="BE9" s="356" t="str">
        <f>IF(AW9="","",HLOOKUP(AW9,AssociatedRef!$AP$1:$BZ$123,LOOKUP($CD$2,AssociatedRef!$AP$2:$AP$123,AssociatedRef!$AQ$2:$AQ$123),FALSE))</f>
        <v/>
      </c>
      <c r="BF9" s="356"/>
      <c r="BG9" s="161" t="s">
        <v>361</v>
      </c>
      <c r="BH9" s="149" t="str">
        <f t="shared" si="2"/>
        <v/>
      </c>
      <c r="BI9" s="393" t="s">
        <v>943</v>
      </c>
      <c r="BJ9" s="389"/>
      <c r="BK9" s="356">
        <f t="shared" si="6"/>
        <v>1</v>
      </c>
      <c r="BL9" s="356"/>
      <c r="BM9" s="356">
        <f>SUM(DotTracking!AC21:AM21,DotTracking!E21:O21,DotTracking!BA21:BK21,DotTracking!BY21:CI21)</f>
        <v>0</v>
      </c>
      <c r="BN9" s="356"/>
      <c r="BO9" s="363"/>
      <c r="BP9" s="363"/>
      <c r="BQ9" s="363"/>
      <c r="BR9" s="363"/>
      <c r="BS9" s="356">
        <f>IF(LOOKUP($CD$2,AssociatedRef!$A$2:$A$123,AssociatedRef!$G$2:$G$123)="Yes",BQ9*4,BQ9*5)</f>
        <v>0</v>
      </c>
      <c r="BT9" s="401"/>
      <c r="BU9" s="2" t="s">
        <v>57</v>
      </c>
      <c r="BV9" s="171">
        <f>SUM(IF(DotTracking!P29="Craft",DotTracking!T29:X29,0),IF(DotTracking!AN29="Craft",DotTracking!AR29:AV29,0),IF(DotTracking!BL29="Craft",DotTracking!BP29:BT29,0),IF(DotTracking!P30="Craft",DotTracking!T30:X30,0),IF(DotTracking!AN30="Craft",DotTracking!AR30:AV30,0),IF(DotTracking!BL30="Craft",DotTracking!BP30:BT30,0),IF(DotTracking!P32="Craft",DotTracking!T32:X32,0),IF(DotTracking!AN32="Craft",DotTracking!AR32:AV32,0),IF(DotTracking!BL32="Craft",DotTracking!BP32:BT32,0),IF(DotTracking!P31="Craft",DotTracking!T31:X31,0),IF(DotTracking!AN31="Craft",DotTracking!AR31:AV31,0),IF(DotTracking!BL31="Craft",DotTracking!BP31:BT31,0),IF(DotTracking!P33="Craft",DotTracking!T33:X33,0),IF(DotTracking!AN33="Craft",DotTracking!AR33:AV33,0),IF(DotTracking!BL33="Craft",DotTracking!BP33:BT33,0),IF(DotTracking!P34="Craft",DotTracking!T34:X34,0),IF(DotTracking!AN34="Craft",DotTracking!AR34:AV34,0),IF(DotTracking!BL34="Craft",DotTracking!BP34:BT34,0),IF(DotTracking!P35="Craft",DotTracking!T35:X35,0),IF(DotTracking!AN35="Craft",DotTracking!AR35:AV35,0),IF(DotTracking!BL35="Craft",DotTracking!BP35:BT35,0),IF(DotTracking!P36="Craft",DotTracking!T36:X36,0),IF(DotTracking!AN36="Craft",DotTracking!AR36:AV36,0),IF(DotTracking!BL36="Craft",DotTracking!BP36:BT36,0),IF(DotTracking!P37="Craft",DotTracking!T37:X37,0),IF(DotTracking!AN37="Craft",DotTracking!AR37:AV37,0),IF(DotTracking!BL37="Craft",DotTracking!BP37:BT37,0),IF(DotTracking!P38="Craft",DotTracking!T38:X38,0),IF(DotTracking!AN38="Craft",DotTracking!AR38:AV38,0),IF(DotTracking!BL38="Craft",DotTracking!BP38:BT38,0),IF(DotTracking!CJ29="Craft",DotTracking!CN29:CR29,0),IF(DotTracking!CJ30="Craft",DotTracking!CN30:CR30,0),IF(DotTracking!CJ31="Craft",DotTracking!CN31:CR31,0),IF(DotTracking!CJ32="Craft",DotTracking!CN32:CR32,0),IF(DotTracking!CJ33="Craft",DotTracking!CN33:CR33,0),IF(DotTracking!CJ34="Craft",DotTracking!CN34:CR34,0),IF(DotTracking!CJ35="Craft",DotTracking!CN35:CR35,0),IF(DotTracking!CJ36="Craft",DotTracking!CN36:CR36,0),IF(DotTracking!CJ37="Craft",DotTracking!CN37:CR37,0),IF(DotTracking!CJ38="Craft",DotTracking!CN38:CR38,0),0)</f>
        <v>0</v>
      </c>
      <c r="BW9" s="2" t="s">
        <v>45</v>
      </c>
      <c r="BX9" s="171">
        <f>SUM(DotTracking!$T19:$X19,DotTracking!$AR19:$AV19,DotTracking!$BP19:$BT19,DotTracking!CN19:CR19)</f>
        <v>0</v>
      </c>
      <c r="BY9" s="28">
        <f t="shared" si="4"/>
        <v>0</v>
      </c>
    </row>
    <row r="10" spans="1:85" x14ac:dyDescent="0.25">
      <c r="A10" s="536"/>
      <c r="B10" s="535"/>
      <c r="C10" s="535"/>
      <c r="D10" s="535"/>
      <c r="E10" s="535"/>
      <c r="F10" s="535"/>
      <c r="G10" s="535"/>
      <c r="H10" s="535"/>
      <c r="I10" s="535"/>
      <c r="J10" s="535"/>
      <c r="K10" s="535"/>
      <c r="L10" s="535"/>
      <c r="M10" s="535"/>
      <c r="N10" s="535"/>
      <c r="O10" s="535"/>
      <c r="P10" s="535"/>
      <c r="Q10" s="535"/>
      <c r="R10" s="535"/>
      <c r="S10" s="535"/>
      <c r="T10" s="535"/>
      <c r="U10" s="535"/>
      <c r="V10" s="535"/>
      <c r="W10" s="535"/>
      <c r="X10" s="652"/>
      <c r="Y10" s="393" t="s">
        <v>41</v>
      </c>
      <c r="Z10" s="389"/>
      <c r="AA10" s="389"/>
      <c r="AB10" s="389"/>
      <c r="AC10" s="356">
        <f>SUM(DotTracking!T15:X15,DotTracking!AR15:AV15,DotTracking!BP15:BT15,DotTracking!CN15:CR15,DotTracking!ES13:EW13,DotTracking!FB13:FF13,DotTracking!FK13:FO13,DotTracking!FT13:FX13,DotTracking!GC13:GG13)</f>
        <v>0</v>
      </c>
      <c r="AD10" s="356"/>
      <c r="AE10" s="356"/>
      <c r="AF10" s="363"/>
      <c r="AG10" s="363"/>
      <c r="AH10" s="356">
        <f t="shared" si="0"/>
        <v>0</v>
      </c>
      <c r="AI10" s="356"/>
      <c r="AJ10" s="712"/>
      <c r="AK10" s="712"/>
      <c r="AL10" s="712"/>
      <c r="AM10" s="713"/>
      <c r="AN10" s="362"/>
      <c r="AO10" s="363"/>
      <c r="AP10" s="363"/>
      <c r="AQ10" s="363"/>
      <c r="AR10" s="363"/>
      <c r="AS10" s="363"/>
      <c r="AT10" s="356" t="str">
        <f t="shared" si="5"/>
        <v/>
      </c>
      <c r="AU10" s="356"/>
      <c r="AV10" s="401"/>
      <c r="AW10" s="362"/>
      <c r="AX10" s="363"/>
      <c r="AY10" s="363"/>
      <c r="AZ10" s="363"/>
      <c r="BA10" s="363"/>
      <c r="BB10" s="363"/>
      <c r="BC10" s="240"/>
      <c r="BD10" s="146">
        <f t="shared" si="1"/>
        <v>0</v>
      </c>
      <c r="BE10" s="356" t="str">
        <f>IF(AW10="","",HLOOKUP(AW10,AssociatedRef!$AP$1:$BZ$123,LOOKUP($CD$2,AssociatedRef!$AP$2:$AP$123,AssociatedRef!$AQ$2:$AQ$123),FALSE))</f>
        <v/>
      </c>
      <c r="BF10" s="356"/>
      <c r="BG10" s="161" t="s">
        <v>361</v>
      </c>
      <c r="BH10" s="149" t="str">
        <f t="shared" si="2"/>
        <v/>
      </c>
      <c r="BI10" s="393" t="s">
        <v>944</v>
      </c>
      <c r="BJ10" s="389"/>
      <c r="BK10" s="356">
        <f>SUM(E31:H31)</f>
        <v>1</v>
      </c>
      <c r="BL10" s="356"/>
      <c r="BM10" s="356">
        <f>SUM(DotTracking!AC22:AM22,DotTracking!E22:O22,DotTracking!BA22:BK22,DotTracking!BY22:CI22)</f>
        <v>0</v>
      </c>
      <c r="BN10" s="356"/>
      <c r="BO10" s="363"/>
      <c r="BP10" s="363"/>
      <c r="BQ10" s="363"/>
      <c r="BR10" s="363"/>
      <c r="BS10" s="356">
        <f>IF(LOOKUP($CD$2,AssociatedRef!$A$2:$A$123,AssociatedRef!$H$2:$H$123)="Yes",BQ10*4,BQ10*5)</f>
        <v>0</v>
      </c>
      <c r="BT10" s="401"/>
      <c r="BU10" s="2" t="s">
        <v>41</v>
      </c>
      <c r="BV10" s="171">
        <f>SUM(DotTracking!$T15:$X15,DotTracking!$AR15:$AV15,DotTracking!$BP15:$BT15,DotTracking!CN15:CR15)</f>
        <v>0</v>
      </c>
      <c r="BW10" s="2" t="s">
        <v>46</v>
      </c>
      <c r="BX10" s="171">
        <f>SUM(DotTracking!$T20:$X20,DotTracking!$AR20:$AV20,DotTracking!$BP20:$BT20,DotTracking!CN20:CR20)</f>
        <v>0</v>
      </c>
      <c r="BY10" s="28">
        <f t="shared" si="4"/>
        <v>0</v>
      </c>
    </row>
    <row r="11" spans="1:85" ht="15.75" thickBot="1" x14ac:dyDescent="0.3">
      <c r="A11" s="739"/>
      <c r="B11" s="740"/>
      <c r="C11" s="740"/>
      <c r="D11" s="740"/>
      <c r="E11" s="740"/>
      <c r="F11" s="740"/>
      <c r="G11" s="740"/>
      <c r="H11" s="740"/>
      <c r="I11" s="740"/>
      <c r="J11" s="740"/>
      <c r="K11" s="740"/>
      <c r="L11" s="740"/>
      <c r="M11" s="740"/>
      <c r="N11" s="740"/>
      <c r="O11" s="740"/>
      <c r="P11" s="740"/>
      <c r="Q11" s="740"/>
      <c r="R11" s="740"/>
      <c r="S11" s="740"/>
      <c r="T11" s="740"/>
      <c r="U11" s="740"/>
      <c r="V11" s="740"/>
      <c r="W11" s="740"/>
      <c r="X11" s="741"/>
      <c r="Y11" s="393" t="s">
        <v>42</v>
      </c>
      <c r="Z11" s="389"/>
      <c r="AA11" s="389"/>
      <c r="AB11" s="389"/>
      <c r="AC11" s="356">
        <f>SUM(DotTracking!T16:X16,DotTracking!AR16:AV16,DotTracking!BP16:BT16,DotTracking!CN16:CR16,DotTracking!ES14:EW14,DotTracking!FB14:FF14,DotTracking!FK14:FO14,DotTracking!FT14:FX14,DotTracking!GC14:GG14)</f>
        <v>0</v>
      </c>
      <c r="AD11" s="356"/>
      <c r="AE11" s="356"/>
      <c r="AF11" s="363"/>
      <c r="AG11" s="363"/>
      <c r="AH11" s="356">
        <f t="shared" si="0"/>
        <v>0</v>
      </c>
      <c r="AI11" s="356"/>
      <c r="AJ11" s="712"/>
      <c r="AK11" s="712"/>
      <c r="AL11" s="712"/>
      <c r="AM11" s="713"/>
      <c r="AN11" s="362"/>
      <c r="AO11" s="363"/>
      <c r="AP11" s="363"/>
      <c r="AQ11" s="363"/>
      <c r="AR11" s="363"/>
      <c r="AS11" s="363"/>
      <c r="AT11" s="356" t="str">
        <f t="shared" si="5"/>
        <v/>
      </c>
      <c r="AU11" s="356"/>
      <c r="AV11" s="401"/>
      <c r="AW11" s="362"/>
      <c r="AX11" s="363"/>
      <c r="AY11" s="363"/>
      <c r="AZ11" s="363"/>
      <c r="BA11" s="363"/>
      <c r="BB11" s="363"/>
      <c r="BC11" s="240"/>
      <c r="BD11" s="146">
        <f t="shared" si="1"/>
        <v>0</v>
      </c>
      <c r="BE11" s="356" t="str">
        <f>IF(AW11="","",HLOOKUP(AW11,AssociatedRef!$AP$1:$BZ$123,LOOKUP($CD$2,AssociatedRef!$AP$2:$AP$123,AssociatedRef!$AQ$2:$AQ$123),FALSE))</f>
        <v/>
      </c>
      <c r="BF11" s="356"/>
      <c r="BG11" s="161" t="s">
        <v>361</v>
      </c>
      <c r="BH11" s="149" t="str">
        <f t="shared" si="2"/>
        <v/>
      </c>
      <c r="BI11" s="393" t="s">
        <v>945</v>
      </c>
      <c r="BJ11" s="389"/>
      <c r="BK11" s="356">
        <f t="shared" ref="BK11:BK12" si="7">SUM(E32:H32)</f>
        <v>1</v>
      </c>
      <c r="BL11" s="356"/>
      <c r="BM11" s="356">
        <f>SUM(DotTracking!AC23:AM23,DotTracking!E23:O23,DotTracking!BA23:BK23,DotTracking!BY23:CI23)</f>
        <v>0</v>
      </c>
      <c r="BN11" s="356"/>
      <c r="BO11" s="363"/>
      <c r="BP11" s="363"/>
      <c r="BQ11" s="363"/>
      <c r="BR11" s="363"/>
      <c r="BS11" s="356">
        <f>IF(LOOKUP($CD$2,AssociatedRef!$A$2:$A$123,AssociatedRef!$I$2:$I$123)="Yes",BQ11*4,BQ11*5)</f>
        <v>0</v>
      </c>
      <c r="BT11" s="401"/>
      <c r="BU11" s="1" t="s">
        <v>932</v>
      </c>
      <c r="BV11" s="171"/>
      <c r="BW11" s="2" t="s">
        <v>47</v>
      </c>
      <c r="BX11" s="171">
        <f>SUM(DotTracking!$T21:$X21,DotTracking!$AR21:$AV21,DotTracking!$BP21:$BT21,DotTracking!CN21:CR21)</f>
        <v>0</v>
      </c>
      <c r="BY11" s="28">
        <f t="shared" si="4"/>
        <v>0</v>
      </c>
    </row>
    <row r="12" spans="1:85" x14ac:dyDescent="0.25">
      <c r="A12" s="392" t="s">
        <v>0</v>
      </c>
      <c r="B12" s="391"/>
      <c r="C12" s="391"/>
      <c r="D12" s="391"/>
      <c r="E12" s="370"/>
      <c r="F12" s="370"/>
      <c r="G12" s="370"/>
      <c r="H12" s="370"/>
      <c r="I12" s="370"/>
      <c r="J12" s="370"/>
      <c r="K12" s="370"/>
      <c r="L12" s="370"/>
      <c r="M12" s="370"/>
      <c r="N12" s="371"/>
      <c r="O12" s="392" t="s">
        <v>2</v>
      </c>
      <c r="P12" s="391"/>
      <c r="Q12" s="391"/>
      <c r="R12" s="391"/>
      <c r="S12" s="417">
        <f>Creation!S12</f>
        <v>0</v>
      </c>
      <c r="T12" s="417"/>
      <c r="U12" s="417"/>
      <c r="V12" s="417"/>
      <c r="W12" s="417"/>
      <c r="X12" s="637"/>
      <c r="Y12" s="388" t="s">
        <v>43</v>
      </c>
      <c r="Z12" s="389"/>
      <c r="AA12" s="389"/>
      <c r="AB12" s="389"/>
      <c r="AC12" s="356">
        <f>SUM(DotTracking!T17:X17,DotTracking!AR17:AV17,DotTracking!BP17:BT17,DotTracking!CN17:CR17,DotTracking!ES15:EW15,DotTracking!FB15:FF15,DotTracking!FK15:FO15,DotTracking!FT15:FX15,DotTracking!GC15:GG15)</f>
        <v>0</v>
      </c>
      <c r="AD12" s="356"/>
      <c r="AE12" s="356"/>
      <c r="AF12" s="363"/>
      <c r="AG12" s="363"/>
      <c r="AH12" s="356">
        <f t="shared" si="0"/>
        <v>0</v>
      </c>
      <c r="AI12" s="356"/>
      <c r="AJ12" s="712"/>
      <c r="AK12" s="712"/>
      <c r="AL12" s="712"/>
      <c r="AM12" s="713"/>
      <c r="AN12" s="362"/>
      <c r="AO12" s="363"/>
      <c r="AP12" s="363"/>
      <c r="AQ12" s="363"/>
      <c r="AR12" s="363"/>
      <c r="AS12" s="363"/>
      <c r="AT12" s="356" t="str">
        <f t="shared" si="5"/>
        <v/>
      </c>
      <c r="AU12" s="356"/>
      <c r="AV12" s="401"/>
      <c r="AW12" s="362"/>
      <c r="AX12" s="363"/>
      <c r="AY12" s="363"/>
      <c r="AZ12" s="363"/>
      <c r="BA12" s="363"/>
      <c r="BB12" s="363"/>
      <c r="BC12" s="240"/>
      <c r="BD12" s="146">
        <f t="shared" si="1"/>
        <v>0</v>
      </c>
      <c r="BE12" s="356" t="str">
        <f>IF(AW12="","",HLOOKUP(AW12,AssociatedRef!$AP$1:$BZ$123,LOOKUP($CD$2,AssociatedRef!$AP$2:$AP$123,AssociatedRef!$AQ$2:$AQ$123),FALSE))</f>
        <v/>
      </c>
      <c r="BF12" s="356"/>
      <c r="BG12" s="161" t="s">
        <v>361</v>
      </c>
      <c r="BH12" s="149" t="str">
        <f t="shared" si="2"/>
        <v/>
      </c>
      <c r="BI12" s="393" t="s">
        <v>21</v>
      </c>
      <c r="BJ12" s="389"/>
      <c r="BK12" s="356">
        <f t="shared" si="7"/>
        <v>1</v>
      </c>
      <c r="BL12" s="356"/>
      <c r="BM12" s="356">
        <f>SUM(DotTracking!AC24:AM24,DotTracking!E24:O24,DotTracking!BA24:BK24,DotTracking!BY24:CI24)</f>
        <v>0</v>
      </c>
      <c r="BN12" s="356"/>
      <c r="BO12" s="363"/>
      <c r="BP12" s="363"/>
      <c r="BQ12" s="363"/>
      <c r="BR12" s="363"/>
      <c r="BS12" s="356">
        <f>IF(LOOKUP($CD$2,AssociatedRef!$A$2:$A$123,AssociatedRef!$J$2:$J$123)="Yes",BQ12*4,BQ12*5)</f>
        <v>0</v>
      </c>
      <c r="BT12" s="401"/>
      <c r="BU12" s="2" t="s">
        <v>55</v>
      </c>
      <c r="BV12" s="171">
        <f>SUM(IF(DotTracking!P29="Art",DotTracking!T29:X29,0),IF(DotTracking!AN29="Art",DotTracking!AR29:AV29,0),IF(DotTracking!BL29="Art",DotTracking!BP29:BT29,0),IF(DotTracking!P30="Art",DotTracking!T30:X30,0),IF(DotTracking!AN30="Art",DotTracking!AR30:AV30,0),IF(DotTracking!BL30="Art",DotTracking!BP30:BT30,0),IF(DotTracking!P32="Art",DotTracking!T32:X32,0),IF(DotTracking!AN32="Art",DotTracking!AR32:AV32,0),IF(DotTracking!BL32="Art",DotTracking!BP32:BT32,0),IF(DotTracking!P31="Art",DotTracking!T31:X31,0),IF(DotTracking!AN31="Art",DotTracking!AR31:AV31,0),IF(DotTracking!BL31="Art",DotTracking!BP31:BT31,0),IF(DotTracking!P33="Art",DotTracking!T33:X33,0),IF(DotTracking!AN33="Art",DotTracking!AR33:AV33,0),IF(DotTracking!BL33="Art",DotTracking!BP33:BT33,0),IF(DotTracking!P34="Art",DotTracking!T34:X34,0),IF(DotTracking!AN34="Art",DotTracking!AR34:AV34,0),IF(DotTracking!BL34="Art",DotTracking!BP34:BT34,0),IF(DotTracking!P35="Art",DotTracking!T35:X35,0),IF(DotTracking!AN35="Art",DotTracking!AR35:AV35,0),IF(DotTracking!BL35="Art",DotTracking!BP35:BT35,0),IF(DotTracking!P36="Art",DotTracking!T36:X36,0),IF(DotTracking!AN36="Art",DotTracking!AR36:AV36,0),IF(DotTracking!BL36="Art",DotTracking!BP36:BT36,0),IF(DotTracking!P37="Art",DotTracking!T37:X37,0),IF(DotTracking!AN37="Art",DotTracking!AR37:AV37,0),IF(DotTracking!BL37="Art",DotTracking!BP37:BT37,0),IF(DotTracking!P38="Art",DotTracking!T38:X38,0),IF(DotTracking!AN38="Art",DotTracking!AR38:AV38,0),IF(DotTracking!BL38="Art",DotTracking!BP38:BT38,0),IF(DotTracking!CJ29="Art",DotTracking!CN29:CR29,0),IF(DotTracking!CJ30="Art",DotTracking!CN30:CR30,0),IF(DotTracking!CJ31="Art",DotTracking!CN31:CR31,0),IF(DotTracking!CJ32="Art",DotTracking!CN32:CR32,0),IF(DotTracking!CJ33="Art",DotTracking!CN33:CR33,0),IF(DotTracking!CJ34="Art",DotTracking!CN34:CR34,0),IF(DotTracking!CJ35="Art",DotTracking!CN35:CR35,0),IF(DotTracking!CJ36="Art",DotTracking!CN36:CR36,0),IF(DotTracking!CJ37="Art",DotTracking!CN37:CR37,0),IF(DotTracking!CJ38="Art",DotTracking!CN38:CR38,0),0)</f>
        <v>0</v>
      </c>
      <c r="BW12" s="2" t="s">
        <v>48</v>
      </c>
      <c r="BX12" s="171">
        <f>SUM(DotTracking!$T22:$X22,DotTracking!$AR22:$AV22,DotTracking!$BP22:$BT22,DotTracking!CN22:CR22)</f>
        <v>0</v>
      </c>
      <c r="BY12" s="28">
        <f t="shared" si="4"/>
        <v>0</v>
      </c>
    </row>
    <row r="13" spans="1:85" ht="15.75" thickBot="1" x14ac:dyDescent="0.3">
      <c r="A13" s="396" t="s">
        <v>1</v>
      </c>
      <c r="B13" s="395"/>
      <c r="C13" s="395"/>
      <c r="D13" s="395"/>
      <c r="E13" s="366"/>
      <c r="F13" s="366"/>
      <c r="G13" s="366"/>
      <c r="H13" s="366"/>
      <c r="I13" s="366"/>
      <c r="J13" s="366"/>
      <c r="K13" s="366"/>
      <c r="L13" s="366"/>
      <c r="M13" s="366"/>
      <c r="N13" s="372"/>
      <c r="O13" s="396" t="s">
        <v>4</v>
      </c>
      <c r="P13" s="395"/>
      <c r="Q13" s="395"/>
      <c r="R13" s="395"/>
      <c r="S13" s="667"/>
      <c r="T13" s="667"/>
      <c r="U13" s="667"/>
      <c r="V13" s="667"/>
      <c r="W13" s="667"/>
      <c r="X13" s="668"/>
      <c r="Y13" s="388" t="s">
        <v>44</v>
      </c>
      <c r="Z13" s="389"/>
      <c r="AA13" s="389"/>
      <c r="AB13" s="389"/>
      <c r="AC13" s="356">
        <f>SUM(DotTracking!T18:X18,DotTracking!AR18:AV18,DotTracking!BP18:BT18,DotTracking!CN18:CR18,DotTracking!ES16:EW16,DotTracking!FB16:FF16,DotTracking!FK16:FO16,DotTracking!FT16:FX16,DotTracking!GC16:GG16)</f>
        <v>0</v>
      </c>
      <c r="AD13" s="356"/>
      <c r="AE13" s="356"/>
      <c r="AF13" s="363"/>
      <c r="AG13" s="363"/>
      <c r="AH13" s="356">
        <f t="shared" si="0"/>
        <v>0</v>
      </c>
      <c r="AI13" s="356"/>
      <c r="AJ13" s="712"/>
      <c r="AK13" s="712"/>
      <c r="AL13" s="712"/>
      <c r="AM13" s="713"/>
      <c r="AN13" s="362"/>
      <c r="AO13" s="363"/>
      <c r="AP13" s="363"/>
      <c r="AQ13" s="363"/>
      <c r="AR13" s="363"/>
      <c r="AS13" s="363"/>
      <c r="AT13" s="356" t="str">
        <f t="shared" si="5"/>
        <v/>
      </c>
      <c r="AU13" s="356"/>
      <c r="AV13" s="401"/>
      <c r="AW13" s="362"/>
      <c r="AX13" s="363"/>
      <c r="AY13" s="363"/>
      <c r="AZ13" s="363"/>
      <c r="BA13" s="363"/>
      <c r="BB13" s="363"/>
      <c r="BC13" s="240"/>
      <c r="BD13" s="146">
        <f t="shared" si="1"/>
        <v>0</v>
      </c>
      <c r="BE13" s="356" t="str">
        <f>IF(AW13="","",HLOOKUP(AW13,AssociatedRef!$AP$1:$BZ$123,LOOKUP($CD$2,AssociatedRef!$AP$2:$AP$123,AssociatedRef!$AQ$2:$AQ$123),FALSE))</f>
        <v/>
      </c>
      <c r="BF13" s="356"/>
      <c r="BG13" s="161" t="s">
        <v>361</v>
      </c>
      <c r="BH13" s="149" t="str">
        <f t="shared" si="2"/>
        <v/>
      </c>
      <c r="BI13" s="679"/>
      <c r="BJ13" s="434"/>
      <c r="BK13" s="434"/>
      <c r="BL13" s="434"/>
      <c r="BM13" s="395" t="s">
        <v>28</v>
      </c>
      <c r="BN13" s="395"/>
      <c r="BO13" s="434">
        <f>SUM(BO4:BP12)</f>
        <v>0</v>
      </c>
      <c r="BP13" s="434"/>
      <c r="BQ13" s="434">
        <f t="shared" ref="BQ13" si="8">SUM(BQ4:BR12)</f>
        <v>0</v>
      </c>
      <c r="BR13" s="434"/>
      <c r="BS13" s="434">
        <f>SUM(BS4:BT12)</f>
        <v>0</v>
      </c>
      <c r="BT13" s="474"/>
      <c r="BU13" s="2" t="s">
        <v>37</v>
      </c>
      <c r="BV13" s="171">
        <f>SUM(DotTracking!$T11:$X11,DotTracking!$AR11:$AV12,DotTracking!$BP11:$BT11,DotTracking!CN11:CR11)</f>
        <v>0</v>
      </c>
      <c r="BW13" s="2" t="s">
        <v>49</v>
      </c>
      <c r="BX13" s="171">
        <f>SUM(DotTracking!$T23:$X23,DotTracking!$AR23:$AV23,DotTracking!$BP23:$BT23,DotTracking!CN23:CR23)</f>
        <v>0</v>
      </c>
      <c r="BY13" s="28">
        <f t="shared" si="4"/>
        <v>0</v>
      </c>
    </row>
    <row r="14" spans="1:85" x14ac:dyDescent="0.25">
      <c r="A14" s="705" t="s">
        <v>512</v>
      </c>
      <c r="B14" s="689"/>
      <c r="C14" s="689"/>
      <c r="D14" s="689"/>
      <c r="E14" s="689"/>
      <c r="F14" s="689"/>
      <c r="G14" s="689"/>
      <c r="H14" s="689"/>
      <c r="I14" s="689"/>
      <c r="J14" s="689"/>
      <c r="K14" s="689"/>
      <c r="L14" s="689"/>
      <c r="M14" s="689"/>
      <c r="N14" s="689"/>
      <c r="O14" s="689"/>
      <c r="P14" s="689"/>
      <c r="Q14" s="689"/>
      <c r="R14" s="689"/>
      <c r="S14" s="689"/>
      <c r="T14" s="689"/>
      <c r="U14" s="689"/>
      <c r="V14" s="689"/>
      <c r="W14" s="689"/>
      <c r="X14" s="706"/>
      <c r="Y14" s="393" t="s">
        <v>45</v>
      </c>
      <c r="Z14" s="389"/>
      <c r="AA14" s="389"/>
      <c r="AB14" s="389"/>
      <c r="AC14" s="356">
        <f>SUM(DotTracking!T19:X19,DotTracking!AR19:AV19,DotTracking!BP19:BT19,DotTracking!CN19:CR19,DotTracking!ES17:EW17,DotTracking!FB17:FF17,DotTracking!FK17:FO17,DotTracking!FT17:FX17,DotTracking!GC17:GG17)</f>
        <v>0</v>
      </c>
      <c r="AD14" s="356"/>
      <c r="AE14" s="356"/>
      <c r="AF14" s="363"/>
      <c r="AG14" s="363"/>
      <c r="AH14" s="356">
        <f t="shared" si="0"/>
        <v>0</v>
      </c>
      <c r="AI14" s="356"/>
      <c r="AJ14" s="712"/>
      <c r="AK14" s="712"/>
      <c r="AL14" s="712"/>
      <c r="AM14" s="713"/>
      <c r="AN14" s="362"/>
      <c r="AO14" s="363"/>
      <c r="AP14" s="363"/>
      <c r="AQ14" s="363"/>
      <c r="AR14" s="363"/>
      <c r="AS14" s="363"/>
      <c r="AT14" s="356" t="str">
        <f t="shared" si="5"/>
        <v/>
      </c>
      <c r="AU14" s="356"/>
      <c r="AV14" s="401"/>
      <c r="AW14" s="362"/>
      <c r="AX14" s="363"/>
      <c r="AY14" s="363"/>
      <c r="AZ14" s="363"/>
      <c r="BA14" s="363"/>
      <c r="BB14" s="363"/>
      <c r="BC14" s="240"/>
      <c r="BD14" s="146">
        <f t="shared" si="1"/>
        <v>0</v>
      </c>
      <c r="BE14" s="356" t="str">
        <f>IF(AW14="","",HLOOKUP(AW14,AssociatedRef!$AP$1:$BZ$123,LOOKUP($CD$2,AssociatedRef!$AP$2:$AP$123,AssociatedRef!$AQ$2:$AQ$123),FALSE))</f>
        <v/>
      </c>
      <c r="BF14" s="356"/>
      <c r="BG14" s="161" t="s">
        <v>361</v>
      </c>
      <c r="BH14" s="149" t="str">
        <f t="shared" si="2"/>
        <v/>
      </c>
      <c r="BI14" s="392" t="s">
        <v>73</v>
      </c>
      <c r="BJ14" s="391"/>
      <c r="BK14" s="391"/>
      <c r="BL14" s="391"/>
      <c r="BM14" s="391"/>
      <c r="BN14" s="391"/>
      <c r="BO14" s="417">
        <f>SUM(BO13,BD4:BD46)</f>
        <v>0</v>
      </c>
      <c r="BP14" s="637"/>
      <c r="BQ14" s="657"/>
      <c r="BR14" s="657"/>
      <c r="BS14" s="657"/>
      <c r="BT14" s="658"/>
      <c r="BU14" s="2" t="s">
        <v>38</v>
      </c>
      <c r="BV14" s="171">
        <f>SUM(DotTracking!$T12:$X12,DotTracking!$AR12:$AV13,DotTracking!$BP12:$BT12,DotTracking!CN12:CR12)</f>
        <v>0</v>
      </c>
      <c r="BW14" s="2" t="s">
        <v>50</v>
      </c>
      <c r="BX14" s="171">
        <f>SUM(DotTracking!$T24:$X24,DotTracking!$AR24:$AV24,DotTracking!$BP24:$BT24,DotTracking!CN24:CR24)</f>
        <v>0</v>
      </c>
      <c r="BY14" s="28">
        <f t="shared" si="4"/>
        <v>0</v>
      </c>
    </row>
    <row r="15" spans="1:85" ht="15.75" thickBot="1" x14ac:dyDescent="0.3">
      <c r="A15" s="396"/>
      <c r="B15" s="395"/>
      <c r="C15" s="395"/>
      <c r="D15" s="395"/>
      <c r="E15" s="395"/>
      <c r="F15" s="395"/>
      <c r="G15" s="395"/>
      <c r="H15" s="395"/>
      <c r="I15" s="395"/>
      <c r="J15" s="395"/>
      <c r="K15" s="395"/>
      <c r="L15" s="395"/>
      <c r="M15" s="395"/>
      <c r="N15" s="395"/>
      <c r="O15" s="395"/>
      <c r="P15" s="395"/>
      <c r="Q15" s="395"/>
      <c r="R15" s="395"/>
      <c r="S15" s="395"/>
      <c r="T15" s="395"/>
      <c r="U15" s="395"/>
      <c r="V15" s="395"/>
      <c r="W15" s="395"/>
      <c r="X15" s="475"/>
      <c r="Y15" s="393" t="s">
        <v>46</v>
      </c>
      <c r="Z15" s="389"/>
      <c r="AA15" s="389"/>
      <c r="AB15" s="389"/>
      <c r="AC15" s="356">
        <f>SUM(DotTracking!T20:X20,DotTracking!AR20:AV20,DotTracking!BP20:BT20,DotTracking!CN20:CR20,DotTracking!ES18:EW18,DotTracking!FB18:FF18,DotTracking!FK18:FO18,DotTracking!FT18:FX18,DotTracking!GC18:GG18)</f>
        <v>0</v>
      </c>
      <c r="AD15" s="356"/>
      <c r="AE15" s="356"/>
      <c r="AF15" s="363"/>
      <c r="AG15" s="363"/>
      <c r="AH15" s="356">
        <f t="shared" si="0"/>
        <v>0</v>
      </c>
      <c r="AI15" s="356"/>
      <c r="AJ15" s="712"/>
      <c r="AK15" s="712"/>
      <c r="AL15" s="712"/>
      <c r="AM15" s="713"/>
      <c r="AN15" s="362"/>
      <c r="AO15" s="363"/>
      <c r="AP15" s="363"/>
      <c r="AQ15" s="363"/>
      <c r="AR15" s="363"/>
      <c r="AS15" s="363"/>
      <c r="AT15" s="356" t="str">
        <f t="shared" si="5"/>
        <v/>
      </c>
      <c r="AU15" s="356"/>
      <c r="AV15" s="401"/>
      <c r="AW15" s="362"/>
      <c r="AX15" s="363"/>
      <c r="AY15" s="363"/>
      <c r="AZ15" s="363"/>
      <c r="BA15" s="363"/>
      <c r="BB15" s="363"/>
      <c r="BC15" s="240"/>
      <c r="BD15" s="146">
        <f t="shared" si="1"/>
        <v>0</v>
      </c>
      <c r="BE15" s="356" t="str">
        <f>IF(AW15="","",HLOOKUP(AW15,AssociatedRef!$AP$1:$BZ$123,LOOKUP($CD$2,AssociatedRef!$AP$2:$AP$123,AssociatedRef!$AQ$2:$AQ$123),FALSE))</f>
        <v/>
      </c>
      <c r="BF15" s="356"/>
      <c r="BG15" s="161" t="s">
        <v>361</v>
      </c>
      <c r="BH15" s="149" t="str">
        <f t="shared" si="2"/>
        <v/>
      </c>
      <c r="BI15" s="393"/>
      <c r="BJ15" s="389"/>
      <c r="BK15" s="389"/>
      <c r="BL15" s="389"/>
      <c r="BM15" s="389"/>
      <c r="BN15" s="389"/>
      <c r="BO15" s="356"/>
      <c r="BP15" s="401"/>
      <c r="BQ15" s="657"/>
      <c r="BR15" s="657"/>
      <c r="BS15" s="657"/>
      <c r="BT15" s="658"/>
      <c r="BU15" s="2" t="s">
        <v>39</v>
      </c>
      <c r="BV15" s="171">
        <f>SUM(DotTracking!$T13:$X13,DotTracking!$AR13:$AV14,DotTracking!$BP13:$BT13,DotTracking!CN13:CR13)</f>
        <v>0</v>
      </c>
      <c r="BW15" s="2" t="s">
        <v>51</v>
      </c>
      <c r="BX15" s="171">
        <f>SUM(DotTracking!$T25:$X25,DotTracking!$AR25:$AV25,DotTracking!$BP25:$BT25,DotTracking!CN25:CR25)</f>
        <v>0</v>
      </c>
      <c r="BY15" s="28">
        <f t="shared" si="4"/>
        <v>0</v>
      </c>
    </row>
    <row r="16" spans="1:85" ht="15" customHeight="1" x14ac:dyDescent="0.25">
      <c r="A16" s="373" t="s">
        <v>8</v>
      </c>
      <c r="B16" s="374"/>
      <c r="C16" s="374"/>
      <c r="D16" s="374"/>
      <c r="E16" s="374"/>
      <c r="F16" s="374"/>
      <c r="G16" s="374"/>
      <c r="H16" s="374"/>
      <c r="I16" s="374"/>
      <c r="J16" s="374"/>
      <c r="K16" s="374"/>
      <c r="L16" s="375"/>
      <c r="M16" s="373" t="s">
        <v>9</v>
      </c>
      <c r="N16" s="374"/>
      <c r="O16" s="374"/>
      <c r="P16" s="374"/>
      <c r="Q16" s="374"/>
      <c r="R16" s="374"/>
      <c r="S16" s="374"/>
      <c r="T16" s="374"/>
      <c r="U16" s="374"/>
      <c r="V16" s="374"/>
      <c r="W16" s="374"/>
      <c r="X16" s="375"/>
      <c r="Y16" s="393" t="s">
        <v>47</v>
      </c>
      <c r="Z16" s="389"/>
      <c r="AA16" s="389"/>
      <c r="AB16" s="389"/>
      <c r="AC16" s="356">
        <f>SUM(DotTracking!T21:X21,DotTracking!AR21:AV21,DotTracking!BP21:BT21,DotTracking!CN21:CR21,DotTracking!ES19:EW19,DotTracking!FB19:FF19,DotTracking!FK19:FO19,DotTracking!FT19:FX19,DotTracking!GC19:GG19)</f>
        <v>0</v>
      </c>
      <c r="AD16" s="356"/>
      <c r="AE16" s="356"/>
      <c r="AF16" s="363"/>
      <c r="AG16" s="363"/>
      <c r="AH16" s="356">
        <f t="shared" si="0"/>
        <v>0</v>
      </c>
      <c r="AI16" s="356"/>
      <c r="AJ16" s="712"/>
      <c r="AK16" s="712"/>
      <c r="AL16" s="712"/>
      <c r="AM16" s="713"/>
      <c r="AN16" s="362"/>
      <c r="AO16" s="363"/>
      <c r="AP16" s="363"/>
      <c r="AQ16" s="363"/>
      <c r="AR16" s="363"/>
      <c r="AS16" s="363"/>
      <c r="AT16" s="356" t="str">
        <f t="shared" si="5"/>
        <v/>
      </c>
      <c r="AU16" s="356"/>
      <c r="AV16" s="401"/>
      <c r="AW16" s="362"/>
      <c r="AX16" s="363"/>
      <c r="AY16" s="363"/>
      <c r="AZ16" s="363"/>
      <c r="BA16" s="363"/>
      <c r="BB16" s="363"/>
      <c r="BC16" s="240"/>
      <c r="BD16" s="146">
        <f t="shared" si="1"/>
        <v>0</v>
      </c>
      <c r="BE16" s="356" t="str">
        <f>IF(AW16="","",HLOOKUP(AW16,AssociatedRef!$AP$1:$BZ$123,LOOKUP($CD$2,AssociatedRef!$AP$2:$AP$123,AssociatedRef!$AQ$2:$AQ$123),FALSE))</f>
        <v/>
      </c>
      <c r="BF16" s="356"/>
      <c r="BG16" s="161" t="s">
        <v>361</v>
      </c>
      <c r="BH16" s="149" t="str">
        <f t="shared" si="2"/>
        <v/>
      </c>
      <c r="BI16" s="393" t="s">
        <v>32</v>
      </c>
      <c r="BJ16" s="389"/>
      <c r="BK16" s="389"/>
      <c r="BL16" s="389"/>
      <c r="BM16" s="389"/>
      <c r="BN16" s="389"/>
      <c r="BO16" s="356">
        <f>10-BO14</f>
        <v>10</v>
      </c>
      <c r="BP16" s="401"/>
      <c r="BQ16" s="657"/>
      <c r="BR16" s="657"/>
      <c r="BS16" s="657"/>
      <c r="BT16" s="658"/>
      <c r="BU16" s="2" t="s">
        <v>40</v>
      </c>
      <c r="BV16" s="171">
        <f>SUM(DotTracking!$T14:$X14,DotTracking!$AR14:$AV15,DotTracking!$BP14:$BT14,DotTracking!CN14:CR14)</f>
        <v>0</v>
      </c>
      <c r="BW16" s="1" t="s">
        <v>935</v>
      </c>
      <c r="BX16" s="171"/>
      <c r="BY16" s="28">
        <f t="shared" si="4"/>
        <v>0</v>
      </c>
    </row>
    <row r="17" spans="1:77" ht="15.75" customHeight="1" thickBot="1" x14ac:dyDescent="0.3">
      <c r="A17" s="376"/>
      <c r="B17" s="377"/>
      <c r="C17" s="377"/>
      <c r="D17" s="377"/>
      <c r="E17" s="377"/>
      <c r="F17" s="377"/>
      <c r="G17" s="377"/>
      <c r="H17" s="377"/>
      <c r="I17" s="377"/>
      <c r="J17" s="377"/>
      <c r="K17" s="377"/>
      <c r="L17" s="418"/>
      <c r="M17" s="376"/>
      <c r="N17" s="377"/>
      <c r="O17" s="377"/>
      <c r="P17" s="377"/>
      <c r="Q17" s="377"/>
      <c r="R17" s="377"/>
      <c r="S17" s="377"/>
      <c r="T17" s="377"/>
      <c r="U17" s="377"/>
      <c r="V17" s="377"/>
      <c r="W17" s="377"/>
      <c r="X17" s="418"/>
      <c r="Y17" s="393" t="s">
        <v>48</v>
      </c>
      <c r="Z17" s="389"/>
      <c r="AA17" s="389"/>
      <c r="AB17" s="389"/>
      <c r="AC17" s="356">
        <f>SUM(DotTracking!T22:X22,DotTracking!AR22:AV22,DotTracking!BP22:BT22,DotTracking!CN22:CR22,DotTracking!ES20:EW20,DotTracking!FB20:FF20,DotTracking!FK20:FO20,DotTracking!FT20:FX20,DotTracking!GC20:GG20)</f>
        <v>0</v>
      </c>
      <c r="AD17" s="356"/>
      <c r="AE17" s="356"/>
      <c r="AF17" s="363"/>
      <c r="AG17" s="363"/>
      <c r="AH17" s="356">
        <f t="shared" si="0"/>
        <v>0</v>
      </c>
      <c r="AI17" s="356"/>
      <c r="AJ17" s="712"/>
      <c r="AK17" s="712"/>
      <c r="AL17" s="712"/>
      <c r="AM17" s="713"/>
      <c r="AN17" s="362"/>
      <c r="AO17" s="363"/>
      <c r="AP17" s="363"/>
      <c r="AQ17" s="363"/>
      <c r="AR17" s="363"/>
      <c r="AS17" s="363"/>
      <c r="AT17" s="356" t="str">
        <f t="shared" si="5"/>
        <v/>
      </c>
      <c r="AU17" s="356"/>
      <c r="AV17" s="401"/>
      <c r="AW17" s="362"/>
      <c r="AX17" s="363"/>
      <c r="AY17" s="363"/>
      <c r="AZ17" s="363"/>
      <c r="BA17" s="363"/>
      <c r="BB17" s="363"/>
      <c r="BC17" s="240"/>
      <c r="BD17" s="146">
        <f t="shared" si="1"/>
        <v>0</v>
      </c>
      <c r="BE17" s="356" t="str">
        <f>IF(AW17="","",HLOOKUP(AW17,AssociatedRef!$AP$1:$BZ$123,LOOKUP($CD$2,AssociatedRef!$AP$2:$AP$123,AssociatedRef!$AQ$2:$AQ$123),FALSE))</f>
        <v/>
      </c>
      <c r="BF17" s="356"/>
      <c r="BG17" s="161" t="s">
        <v>361</v>
      </c>
      <c r="BH17" s="149" t="str">
        <f t="shared" si="2"/>
        <v/>
      </c>
      <c r="BI17" s="396" t="s">
        <v>29</v>
      </c>
      <c r="BJ17" s="395"/>
      <c r="BK17" s="395"/>
      <c r="BL17" s="395"/>
      <c r="BM17" s="395"/>
      <c r="BN17" s="395"/>
      <c r="BO17" s="434" t="str">
        <f>IF(BO16=0,"Yes","No")</f>
        <v>No</v>
      </c>
      <c r="BP17" s="474"/>
      <c r="BQ17" s="657"/>
      <c r="BR17" s="657"/>
      <c r="BS17" s="657"/>
      <c r="BT17" s="658"/>
      <c r="BU17" s="2" t="s">
        <v>56</v>
      </c>
      <c r="BV17" s="171">
        <f>SUM(IF(DotTracking!P29="Control",DotTracking!T29:X29,0),IF(DotTracking!AN29="Control",DotTracking!AR29:AV29,0),IF(DotTracking!BL29="Control",DotTracking!BP29:BT29,0),IF(DotTracking!P30="Control",DotTracking!T30:X30,0),IF(DotTracking!AN30="Control",DotTracking!AR30:AV30,0),IF(DotTracking!BL30="Control",DotTracking!BP30:BT30,0),IF(DotTracking!P32="Control",DotTracking!T32:X32,0),IF(DotTracking!AN32="Control",DotTracking!AR32:AV32,0),IF(DotTracking!BL32="Control",DotTracking!BP32:BT32,0),IF(DotTracking!P31="Control",DotTracking!T31:X31,0),IF(DotTracking!AN31="Control",DotTracking!AR31:AV31,0),IF(DotTracking!BL31="Control",DotTracking!BP31:BT31,0),IF(DotTracking!P33="Control",DotTracking!T33:X33,0),IF(DotTracking!AN33="Control",DotTracking!AR33:AV33,0),IF(DotTracking!BL33="Control",DotTracking!BP33:BT33,0),IF(DotTracking!P34="Control",DotTracking!T34:X34,0),IF(DotTracking!AN34="Control",DotTracking!AR34:AV34,0),IF(DotTracking!BL34="Control",DotTracking!BP34:BT34,0),IF(DotTracking!P35="Control",DotTracking!T35:X35,0),IF(DotTracking!AN35="Control",DotTracking!AR35:AV35,0),IF(DotTracking!BL35="Control",DotTracking!BP35:BT35,0),IF(DotTracking!P36="Control",DotTracking!T36:X36,0),IF(DotTracking!AN36="Control",DotTracking!AR36:AV36,0),IF(DotTracking!BL36="Control",DotTracking!BP36:BT36,0),IF(DotTracking!P37="Control",DotTracking!T37:X37,0),IF(DotTracking!AN37="Control",DotTracking!AR37:AV37,0),IF(DotTracking!BL37="Control",DotTracking!BP37:BT37,0),IF(DotTracking!P38="Control",DotTracking!T38:X38,0),IF(DotTracking!AN38="Control",DotTracking!AR38:AV38,0),IF(DotTracking!BL38="Control",DotTracking!BP38:BT38,0),IF(DotTracking!CJ29="Control",DotTracking!CN29:CR29,0),IF(DotTracking!CJ30="Control",DotTracking!CN30:CR30,0),IF(DotTracking!CJ31="Control",DotTracking!CN31:CR31,0),IF(DotTracking!CJ32="Control",DotTracking!CN32:CR32,0),IF(DotTracking!CJ33="Control",DotTracking!CN33:CR33,0),IF(DotTracking!CJ34="Control",DotTracking!CN34:CR34,0),IF(DotTracking!CJ35="Control",DotTracking!CN35:CR35,0),IF(DotTracking!CJ36="Control",DotTracking!CN36:CR36,0),IF(DotTracking!CJ37="Control",DotTracking!CN37:CR37,0),IF(DotTracking!CJ38="Control",DotTracking!CN38:CR38,0),0)</f>
        <v>0</v>
      </c>
      <c r="BW17" s="2" t="s">
        <v>42</v>
      </c>
      <c r="BX17" s="171">
        <f>SUM(DotTracking!$T16:$X16,DotTracking!$AR16:$AV16,DotTracking!$BP16:$BT16,DotTracking!CN16:CR16)</f>
        <v>0</v>
      </c>
      <c r="BY17" s="28">
        <f t="shared" si="4"/>
        <v>0</v>
      </c>
    </row>
    <row r="18" spans="1:77" ht="15" customHeight="1" x14ac:dyDescent="0.25">
      <c r="A18" s="680"/>
      <c r="B18" s="417"/>
      <c r="C18" s="417"/>
      <c r="D18" s="417"/>
      <c r="E18" s="391" t="s">
        <v>151</v>
      </c>
      <c r="F18" s="391"/>
      <c r="G18" s="391" t="s">
        <v>152</v>
      </c>
      <c r="H18" s="391"/>
      <c r="I18" s="391" t="s">
        <v>11</v>
      </c>
      <c r="J18" s="391"/>
      <c r="K18" s="391"/>
      <c r="L18" s="409"/>
      <c r="M18" s="680"/>
      <c r="N18" s="417"/>
      <c r="O18" s="417"/>
      <c r="P18" s="417"/>
      <c r="Q18" s="391" t="s">
        <v>12</v>
      </c>
      <c r="R18" s="391"/>
      <c r="S18" s="391"/>
      <c r="T18" s="391"/>
      <c r="U18" s="391" t="s">
        <v>10</v>
      </c>
      <c r="V18" s="391"/>
      <c r="W18" s="391"/>
      <c r="X18" s="409"/>
      <c r="Y18" s="393" t="s">
        <v>49</v>
      </c>
      <c r="Z18" s="389"/>
      <c r="AA18" s="389"/>
      <c r="AB18" s="389"/>
      <c r="AC18" s="356">
        <f>SUM(DotTracking!T23:X23,DotTracking!AR23:AV23,DotTracking!BP23:BT23,DotTracking!CN23:CR23,DotTracking!ES21:EW21,DotTracking!FB21:FF21,DotTracking!FK21:FO21,DotTracking!FT21:FX21,DotTracking!GC21:GG21)</f>
        <v>0</v>
      </c>
      <c r="AD18" s="356"/>
      <c r="AE18" s="356"/>
      <c r="AF18" s="363"/>
      <c r="AG18" s="363"/>
      <c r="AH18" s="356">
        <f t="shared" si="0"/>
        <v>0</v>
      </c>
      <c r="AI18" s="356"/>
      <c r="AJ18" s="712"/>
      <c r="AK18" s="712"/>
      <c r="AL18" s="712"/>
      <c r="AM18" s="713"/>
      <c r="AN18" s="362"/>
      <c r="AO18" s="363"/>
      <c r="AP18" s="363"/>
      <c r="AQ18" s="363"/>
      <c r="AR18" s="363"/>
      <c r="AS18" s="363"/>
      <c r="AT18" s="356" t="str">
        <f t="shared" si="5"/>
        <v/>
      </c>
      <c r="AU18" s="356"/>
      <c r="AV18" s="401"/>
      <c r="AW18" s="362"/>
      <c r="AX18" s="363"/>
      <c r="AY18" s="363"/>
      <c r="AZ18" s="363"/>
      <c r="BA18" s="363"/>
      <c r="BB18" s="363"/>
      <c r="BC18" s="240"/>
      <c r="BD18" s="146">
        <f t="shared" si="1"/>
        <v>0</v>
      </c>
      <c r="BE18" s="356" t="str">
        <f>IF(AW18="","",HLOOKUP(AW18,AssociatedRef!$AP$1:$BZ$123,LOOKUP($CD$2,AssociatedRef!$AP$2:$AP$123,AssociatedRef!$AQ$2:$AQ$123),FALSE))</f>
        <v/>
      </c>
      <c r="BF18" s="356"/>
      <c r="BG18" s="161" t="s">
        <v>361</v>
      </c>
      <c r="BH18" s="149" t="str">
        <f t="shared" si="2"/>
        <v/>
      </c>
      <c r="BI18" s="373" t="s">
        <v>155</v>
      </c>
      <c r="BJ18" s="374"/>
      <c r="BK18" s="374"/>
      <c r="BL18" s="374"/>
      <c r="BM18" s="374"/>
      <c r="BN18" s="374"/>
      <c r="BO18" s="374"/>
      <c r="BP18" s="374"/>
      <c r="BQ18" s="374"/>
      <c r="BR18" s="374"/>
      <c r="BS18" s="374"/>
      <c r="BT18" s="375"/>
      <c r="BU18" s="2" t="s">
        <v>57</v>
      </c>
      <c r="BV18" s="171">
        <f>SUM(IF(DotTracking!P29="Craft",DotTracking!T29:X29,0),IF(DotTracking!AN29="Craft",DotTracking!AR29:AV29,0),IF(DotTracking!BL29="Craft",DotTracking!BP29:BT29,0),IF(DotTracking!P30="Craft",DotTracking!T30:X30,0),IF(DotTracking!AN30="Craft",DotTracking!AR30:AV30,0),IF(DotTracking!BL30="Craft",DotTracking!BP30:BT30,0),IF(DotTracking!P32="Craft",DotTracking!T32:X32,0),IF(DotTracking!AN32="Craft",DotTracking!AR32:AV32,0),IF(DotTracking!BL32="Craft",DotTracking!BP32:BT32,0),IF(DotTracking!P31="Craft",DotTracking!T31:X31,0),IF(DotTracking!AN31="Craft",DotTracking!AR31:AV31,0),IF(DotTracking!BL31="Craft",DotTracking!BP31:BT31,0),IF(DotTracking!P33="Craft",DotTracking!T33:X33,0),IF(DotTracking!AN33="Craft",DotTracking!AR33:AV33,0),IF(DotTracking!BL33="Craft",DotTracking!BP33:BT33,0),IF(DotTracking!P34="Craft",DotTracking!T34:X34,0),IF(DotTracking!AN34="Craft",DotTracking!AR34:AV34,0),IF(DotTracking!BL34="Craft",DotTracking!BP34:BT34,0),IF(DotTracking!P35="Craft",DotTracking!T35:X35,0),IF(DotTracking!AN35="Craft",DotTracking!AR35:AV35,0),IF(DotTracking!BL35="Craft",DotTracking!BP35:BT35,0),IF(DotTracking!P36="Craft",DotTracking!T36:X36,0),IF(DotTracking!AN36="Craft",DotTracking!AR36:AV36,0),IF(DotTracking!BL36="Craft",DotTracking!BP36:BT36,0),IF(DotTracking!P37="Craft",DotTracking!T37:X37,0),IF(DotTracking!AN37="Craft",DotTracking!AR37:AV37,0),IF(DotTracking!BL37="Craft",DotTracking!BP37:BT37,0),IF(DotTracking!P38="Craft",DotTracking!T38:X38,0),IF(DotTracking!AN38="Craft",DotTracking!AR38:AV38,0),IF(DotTracking!BL38="Craft",DotTracking!BP38:BT38,0),IF(DotTracking!CJ29="Craft",DotTracking!CN29:CR29,0),IF(DotTracking!CJ30="Craft",DotTracking!CN30:CR30,0),IF(DotTracking!CJ31="Craft",DotTracking!CN31:CR31,0),IF(DotTracking!CJ32="Craft",DotTracking!CN32:CR32,0),IF(DotTracking!CJ33="Craft",DotTracking!CN33:CR33,0),IF(DotTracking!CJ34="Craft",DotTracking!CN34:CR34,0),IF(DotTracking!CJ35="Craft",DotTracking!CN35:CR35,0),IF(DotTracking!CJ36="Craft",DotTracking!CN36:CR36,0),IF(DotTracking!CJ37="Craft",DotTracking!CN37:CR37,0),IF(DotTracking!CJ38="Craft",DotTracking!CN38:CR38,0),0)</f>
        <v>0</v>
      </c>
      <c r="BW18" s="2" t="s">
        <v>43</v>
      </c>
      <c r="BX18" s="171">
        <f>SUM(DotTracking!$T17:$X17,DotTracking!$AR17:$AV17,DotTracking!$BP17:$BT17,DotTracking!CN17:CR17)</f>
        <v>0</v>
      </c>
      <c r="BY18" s="28">
        <f t="shared" si="4"/>
        <v>0</v>
      </c>
    </row>
    <row r="19" spans="1:77" ht="15.75" customHeight="1" thickBot="1" x14ac:dyDescent="0.3">
      <c r="A19" s="393" t="s">
        <v>30</v>
      </c>
      <c r="B19" s="389"/>
      <c r="C19" s="389"/>
      <c r="D19" s="389"/>
      <c r="E19" s="356">
        <f>SUM(DotTracking!E6:O6,DotTracking!AC6:AM6,DotTracking!BA6:BK6,DotTracking!BY6:CI6)</f>
        <v>1</v>
      </c>
      <c r="F19" s="356"/>
      <c r="G19" s="363"/>
      <c r="H19" s="363"/>
      <c r="I19" s="363"/>
      <c r="J19" s="363"/>
      <c r="K19" s="363"/>
      <c r="L19" s="369"/>
      <c r="M19" s="393" t="s">
        <v>22</v>
      </c>
      <c r="N19" s="389"/>
      <c r="O19" s="389"/>
      <c r="P19" s="389"/>
      <c r="Q19" s="356" t="str">
        <f>Creation!Q28</f>
        <v>Select God</v>
      </c>
      <c r="R19" s="356"/>
      <c r="S19" s="356"/>
      <c r="T19" s="356"/>
      <c r="U19" s="356">
        <f>LOOKUP(Q19,BU2:BU10,BV2:BV10)</f>
        <v>0</v>
      </c>
      <c r="V19" s="356"/>
      <c r="W19" s="356"/>
      <c r="X19" s="401"/>
      <c r="Y19" s="393" t="s">
        <v>50</v>
      </c>
      <c r="Z19" s="389"/>
      <c r="AA19" s="389"/>
      <c r="AB19" s="389"/>
      <c r="AC19" s="356">
        <f>SUM(DotTracking!T24:X24,DotTracking!AR24:AV24,DotTracking!BP24:BT24,DotTracking!CN24:CR24,DotTracking!ES22:EW22,DotTracking!FB22:FF22,DotTracking!FK22:FO22,DotTracking!FT22:FX22,DotTracking!GC22:GG22)</f>
        <v>0</v>
      </c>
      <c r="AD19" s="356"/>
      <c r="AE19" s="356"/>
      <c r="AF19" s="363"/>
      <c r="AG19" s="363"/>
      <c r="AH19" s="356">
        <f t="shared" si="0"/>
        <v>0</v>
      </c>
      <c r="AI19" s="356"/>
      <c r="AJ19" s="712"/>
      <c r="AK19" s="712"/>
      <c r="AL19" s="712"/>
      <c r="AM19" s="713"/>
      <c r="AN19" s="362"/>
      <c r="AO19" s="363"/>
      <c r="AP19" s="363"/>
      <c r="AQ19" s="363"/>
      <c r="AR19" s="363"/>
      <c r="AS19" s="363"/>
      <c r="AT19" s="356" t="str">
        <f t="shared" si="5"/>
        <v/>
      </c>
      <c r="AU19" s="356"/>
      <c r="AV19" s="401"/>
      <c r="AW19" s="362"/>
      <c r="AX19" s="363"/>
      <c r="AY19" s="363"/>
      <c r="AZ19" s="363"/>
      <c r="BA19" s="363"/>
      <c r="BB19" s="363"/>
      <c r="BC19" s="240"/>
      <c r="BD19" s="146">
        <f t="shared" si="1"/>
        <v>0</v>
      </c>
      <c r="BE19" s="356" t="str">
        <f>IF(AW19="","",HLOOKUP(AW19,AssociatedRef!$AP$1:$BZ$123,LOOKUP($CD$2,AssociatedRef!$AP$2:$AP$123,AssociatedRef!$AQ$2:$AQ$123),FALSE))</f>
        <v/>
      </c>
      <c r="BF19" s="356"/>
      <c r="BG19" s="161" t="s">
        <v>361</v>
      </c>
      <c r="BH19" s="149" t="str">
        <f t="shared" si="2"/>
        <v/>
      </c>
      <c r="BI19" s="376"/>
      <c r="BJ19" s="377"/>
      <c r="BK19" s="377"/>
      <c r="BL19" s="377"/>
      <c r="BM19" s="377"/>
      <c r="BN19" s="377"/>
      <c r="BO19" s="377"/>
      <c r="BP19" s="377"/>
      <c r="BQ19" s="377"/>
      <c r="BR19" s="377"/>
      <c r="BS19" s="377"/>
      <c r="BT19" s="418"/>
      <c r="BU19" s="2" t="s">
        <v>41</v>
      </c>
      <c r="BV19" s="171">
        <f>SUM(DotTracking!$T15:$X15,DotTracking!$AR15:$AV15,DotTracking!$BP15:$BT15,DotTracking!CN15:CR15)</f>
        <v>0</v>
      </c>
      <c r="BW19" s="2" t="s">
        <v>44</v>
      </c>
      <c r="BX19" s="171">
        <f>SUM(DotTracking!$T18:$X18,DotTracking!$AR18:$AV18,DotTracking!$BP18:$BT18,DotTracking!CN18:CR18)</f>
        <v>0</v>
      </c>
      <c r="BY19" s="28">
        <f t="shared" si="4"/>
        <v>0</v>
      </c>
    </row>
    <row r="20" spans="1:77" x14ac:dyDescent="0.25">
      <c r="A20" s="393" t="s">
        <v>13</v>
      </c>
      <c r="B20" s="389"/>
      <c r="C20" s="389"/>
      <c r="D20" s="389"/>
      <c r="E20" s="356">
        <f>SUM(DotTracking!E7:O7,DotTracking!AC7:AM7,DotTracking!BA7:BK7,DotTracking!BY7:CI7)</f>
        <v>1</v>
      </c>
      <c r="F20" s="356"/>
      <c r="G20" s="363"/>
      <c r="H20" s="363"/>
      <c r="I20" s="363"/>
      <c r="J20" s="363"/>
      <c r="K20" s="363"/>
      <c r="L20" s="369"/>
      <c r="M20" s="393" t="s">
        <v>23</v>
      </c>
      <c r="N20" s="389"/>
      <c r="O20" s="389"/>
      <c r="P20" s="389"/>
      <c r="Q20" s="356" t="str">
        <f>Creation!Q29</f>
        <v>Select God</v>
      </c>
      <c r="R20" s="356"/>
      <c r="S20" s="356"/>
      <c r="T20" s="356"/>
      <c r="U20" s="356">
        <f>LOOKUP(Q20,BU12:BU23,BV12:BV23)</f>
        <v>0</v>
      </c>
      <c r="V20" s="356"/>
      <c r="W20" s="356"/>
      <c r="X20" s="401"/>
      <c r="Y20" s="393" t="s">
        <v>51</v>
      </c>
      <c r="Z20" s="389"/>
      <c r="AA20" s="389"/>
      <c r="AB20" s="389"/>
      <c r="AC20" s="356">
        <f>SUM(DotTracking!T25:X25,DotTracking!AR25:AV25,DotTracking!BP25:BT25,DotTracking!CN25:CR25,DotTracking!ES23:EW23,DotTracking!FB23:FF23,DotTracking!FK23:FO23,DotTracking!FT23:FX23,DotTracking!GC23:GG23)</f>
        <v>0</v>
      </c>
      <c r="AD20" s="356"/>
      <c r="AE20" s="356"/>
      <c r="AF20" s="363"/>
      <c r="AG20" s="363"/>
      <c r="AH20" s="356">
        <f t="shared" si="0"/>
        <v>0</v>
      </c>
      <c r="AI20" s="356"/>
      <c r="AJ20" s="712"/>
      <c r="AK20" s="712"/>
      <c r="AL20" s="712"/>
      <c r="AM20" s="713"/>
      <c r="AN20" s="362"/>
      <c r="AO20" s="363"/>
      <c r="AP20" s="363"/>
      <c r="AQ20" s="363"/>
      <c r="AR20" s="363"/>
      <c r="AS20" s="363"/>
      <c r="AT20" s="356" t="str">
        <f t="shared" si="5"/>
        <v/>
      </c>
      <c r="AU20" s="356"/>
      <c r="AV20" s="401"/>
      <c r="AW20" s="362"/>
      <c r="AX20" s="363"/>
      <c r="AY20" s="363"/>
      <c r="AZ20" s="363"/>
      <c r="BA20" s="363"/>
      <c r="BB20" s="363"/>
      <c r="BC20" s="240"/>
      <c r="BD20" s="146">
        <f t="shared" si="1"/>
        <v>0</v>
      </c>
      <c r="BE20" s="356" t="str">
        <f>IF(AW20="","",HLOOKUP(AW20,AssociatedRef!$AP$1:$BZ$123,LOOKUP($CD$2,AssociatedRef!$AP$2:$AP$123,AssociatedRef!$AQ$2:$AQ$123),FALSE))</f>
        <v/>
      </c>
      <c r="BF20" s="356"/>
      <c r="BG20" s="161" t="s">
        <v>361</v>
      </c>
      <c r="BH20" s="149" t="str">
        <f t="shared" si="2"/>
        <v/>
      </c>
      <c r="BI20" s="392" t="s">
        <v>75</v>
      </c>
      <c r="BJ20" s="391"/>
      <c r="BK20" s="391"/>
      <c r="BL20" s="391"/>
      <c r="BM20" s="144" t="s">
        <v>76</v>
      </c>
      <c r="BN20" s="391" t="s">
        <v>11</v>
      </c>
      <c r="BO20" s="391"/>
      <c r="BP20" s="391" t="s">
        <v>77</v>
      </c>
      <c r="BQ20" s="391"/>
      <c r="BR20" s="391"/>
      <c r="BS20" s="391"/>
      <c r="BT20" s="409"/>
      <c r="BU20" s="2" t="s">
        <v>42</v>
      </c>
      <c r="BV20" s="171">
        <f>SUM(DotTracking!$T16:$X16,DotTracking!$AR16:$AV16,DotTracking!$BP16:$BT16,DotTracking!CN16:CR16)</f>
        <v>0</v>
      </c>
      <c r="BW20" s="2" t="s">
        <v>45</v>
      </c>
      <c r="BX20" s="171">
        <f>SUM(DotTracking!$T19:$X19,DotTracking!$AR19:$AV19,DotTracking!$BP19:$BT19,DotTracking!CN19:CR19)</f>
        <v>0</v>
      </c>
      <c r="BY20" s="28">
        <f t="shared" si="4"/>
        <v>0</v>
      </c>
    </row>
    <row r="21" spans="1:77" x14ac:dyDescent="0.25">
      <c r="A21" s="393" t="s">
        <v>14</v>
      </c>
      <c r="B21" s="389"/>
      <c r="C21" s="389"/>
      <c r="D21" s="389"/>
      <c r="E21" s="356">
        <f>SUM(DotTracking!E8:O8,DotTracking!AC8:AM8,DotTracking!BA8:BK8,DotTracking!BY8:CI8)</f>
        <v>1</v>
      </c>
      <c r="F21" s="356"/>
      <c r="G21" s="363"/>
      <c r="H21" s="363"/>
      <c r="I21" s="363"/>
      <c r="J21" s="363"/>
      <c r="K21" s="363"/>
      <c r="L21" s="369"/>
      <c r="M21" s="393" t="s">
        <v>24</v>
      </c>
      <c r="N21" s="389"/>
      <c r="O21" s="389"/>
      <c r="P21" s="389"/>
      <c r="Q21" s="356" t="str">
        <f>Creation!Q30</f>
        <v>Select God</v>
      </c>
      <c r="R21" s="356"/>
      <c r="S21" s="356"/>
      <c r="T21" s="356"/>
      <c r="U21" s="356">
        <f>LOOKUP(Q21,BU25:BU37,BV25:BV37)</f>
        <v>0</v>
      </c>
      <c r="V21" s="356"/>
      <c r="W21" s="356"/>
      <c r="X21" s="401"/>
      <c r="Y21" s="393" t="s">
        <v>52</v>
      </c>
      <c r="Z21" s="389"/>
      <c r="AA21" s="389"/>
      <c r="AB21" s="389"/>
      <c r="AC21" s="356">
        <f>SUM(DotTracking!T26:X26,DotTracking!AR26:AV26,DotTracking!BP26:BT26,DotTracking!CN26:CR26,DotTracking!ES24:EW24,DotTracking!FB24:FF24,DotTracking!FK24:FO24,DotTracking!FT24:FX24,DotTracking!GC24:GG24)</f>
        <v>0</v>
      </c>
      <c r="AD21" s="356"/>
      <c r="AE21" s="356"/>
      <c r="AF21" s="363"/>
      <c r="AG21" s="363"/>
      <c r="AH21" s="356">
        <f t="shared" si="0"/>
        <v>0</v>
      </c>
      <c r="AI21" s="356"/>
      <c r="AJ21" s="712"/>
      <c r="AK21" s="712"/>
      <c r="AL21" s="712"/>
      <c r="AM21" s="713"/>
      <c r="AN21" s="362"/>
      <c r="AO21" s="363"/>
      <c r="AP21" s="363"/>
      <c r="AQ21" s="363"/>
      <c r="AR21" s="363"/>
      <c r="AS21" s="363"/>
      <c r="AT21" s="356" t="str">
        <f t="shared" si="5"/>
        <v/>
      </c>
      <c r="AU21" s="356"/>
      <c r="AV21" s="401"/>
      <c r="AW21" s="362"/>
      <c r="AX21" s="363"/>
      <c r="AY21" s="363"/>
      <c r="AZ21" s="363"/>
      <c r="BA21" s="363"/>
      <c r="BB21" s="363"/>
      <c r="BC21" s="240"/>
      <c r="BD21" s="146">
        <f t="shared" si="1"/>
        <v>0</v>
      </c>
      <c r="BE21" s="356" t="str">
        <f>IF(AW21="","",HLOOKUP(AW21,AssociatedRef!$AP$1:$BZ$123,LOOKUP($CD$2,AssociatedRef!$AP$2:$AP$123,AssociatedRef!$AQ$2:$AQ$123),FALSE))</f>
        <v/>
      </c>
      <c r="BF21" s="356"/>
      <c r="BG21" s="161" t="s">
        <v>361</v>
      </c>
      <c r="BH21" s="149" t="str">
        <f t="shared" si="2"/>
        <v/>
      </c>
      <c r="BI21" s="362"/>
      <c r="BJ21" s="363"/>
      <c r="BK21" s="363"/>
      <c r="BL21" s="363"/>
      <c r="BM21" s="240"/>
      <c r="BN21" s="240"/>
      <c r="BO21" s="240"/>
      <c r="BP21" s="363"/>
      <c r="BQ21" s="363"/>
      <c r="BR21" s="363"/>
      <c r="BS21" s="363"/>
      <c r="BT21" s="369"/>
      <c r="BU21" s="2" t="s">
        <v>43</v>
      </c>
      <c r="BV21" s="171">
        <f>SUM(DotTracking!$T17:$X17,DotTracking!$AR17:$AV17,DotTracking!$BP17:$BT17,DotTracking!CN17:CR17)</f>
        <v>0</v>
      </c>
      <c r="BW21" s="2" t="s">
        <v>46</v>
      </c>
      <c r="BX21" s="171">
        <f>SUM(DotTracking!$T20:$X20,DotTracking!$AR20:$AV20,DotTracking!$BP20:$BT20,DotTracking!CN20:CR20)</f>
        <v>0</v>
      </c>
      <c r="BY21" s="28">
        <f t="shared" si="4"/>
        <v>0</v>
      </c>
    </row>
    <row r="22" spans="1:77" x14ac:dyDescent="0.25">
      <c r="A22" s="393" t="s">
        <v>15</v>
      </c>
      <c r="B22" s="389"/>
      <c r="C22" s="389"/>
      <c r="D22" s="389"/>
      <c r="E22" s="726" t="s">
        <v>59</v>
      </c>
      <c r="F22" s="726"/>
      <c r="G22" s="726"/>
      <c r="H22" s="726"/>
      <c r="I22" s="356"/>
      <c r="J22" s="356"/>
      <c r="K22" s="356"/>
      <c r="L22" s="401"/>
      <c r="M22" s="393" t="s">
        <v>25</v>
      </c>
      <c r="N22" s="389"/>
      <c r="O22" s="389"/>
      <c r="P22" s="389"/>
      <c r="Q22" s="356" t="str">
        <f>Creation!Q31</f>
        <v>Select God</v>
      </c>
      <c r="R22" s="356"/>
      <c r="S22" s="356"/>
      <c r="T22" s="356"/>
      <c r="U22" s="356">
        <f>LOOKUP(Q22,BW2:BW15,BX2:BX15)</f>
        <v>0</v>
      </c>
      <c r="V22" s="356"/>
      <c r="W22" s="356"/>
      <c r="X22" s="401"/>
      <c r="Y22" s="393" t="s">
        <v>53</v>
      </c>
      <c r="Z22" s="389"/>
      <c r="AA22" s="389"/>
      <c r="AB22" s="389"/>
      <c r="AC22" s="356">
        <f>SUM(DotTracking!T27:X27,DotTracking!AR27:AV27,DotTracking!BP27:BT27,DotTracking!CN27:CR27,DotTracking!ES25:EW25,DotTracking!FB25:FF25,DotTracking!FK25:FO25,DotTracking!FT25:FX25,DotTracking!GC25:GG25)</f>
        <v>0</v>
      </c>
      <c r="AD22" s="356"/>
      <c r="AE22" s="356"/>
      <c r="AF22" s="363"/>
      <c r="AG22" s="363"/>
      <c r="AH22" s="356">
        <f t="shared" si="0"/>
        <v>0</v>
      </c>
      <c r="AI22" s="356"/>
      <c r="AJ22" s="712"/>
      <c r="AK22" s="712"/>
      <c r="AL22" s="712"/>
      <c r="AM22" s="713"/>
      <c r="AN22" s="362"/>
      <c r="AO22" s="363"/>
      <c r="AP22" s="363"/>
      <c r="AQ22" s="363"/>
      <c r="AR22" s="363"/>
      <c r="AS22" s="363"/>
      <c r="AT22" s="356" t="str">
        <f t="shared" si="5"/>
        <v/>
      </c>
      <c r="AU22" s="356"/>
      <c r="AV22" s="401"/>
      <c r="AW22" s="362"/>
      <c r="AX22" s="363"/>
      <c r="AY22" s="363"/>
      <c r="AZ22" s="363"/>
      <c r="BA22" s="363"/>
      <c r="BB22" s="363"/>
      <c r="BC22" s="240"/>
      <c r="BD22" s="146">
        <f t="shared" si="1"/>
        <v>0</v>
      </c>
      <c r="BE22" s="356" t="str">
        <f>IF(AW22="","",HLOOKUP(AW22,AssociatedRef!$AP$1:$BZ$123,LOOKUP($CD$2,AssociatedRef!$AP$2:$AP$123,AssociatedRef!$AQ$2:$AQ$123),FALSE))</f>
        <v/>
      </c>
      <c r="BF22" s="356"/>
      <c r="BG22" s="161" t="s">
        <v>361</v>
      </c>
      <c r="BH22" s="149" t="str">
        <f t="shared" si="2"/>
        <v/>
      </c>
      <c r="BI22" s="362"/>
      <c r="BJ22" s="363"/>
      <c r="BK22" s="363"/>
      <c r="BL22" s="363"/>
      <c r="BM22" s="240"/>
      <c r="BN22" s="240"/>
      <c r="BO22" s="240"/>
      <c r="BP22" s="363"/>
      <c r="BQ22" s="363"/>
      <c r="BR22" s="363"/>
      <c r="BS22" s="363"/>
      <c r="BT22" s="369"/>
      <c r="BU22" s="2" t="s">
        <v>44</v>
      </c>
      <c r="BV22" s="171">
        <f>SUM(DotTracking!$T18:$X18,DotTracking!$AR18:$AV18,DotTracking!$BP18:$BT18,DotTracking!CN18:CR18)</f>
        <v>0</v>
      </c>
      <c r="BW22" s="2" t="s">
        <v>47</v>
      </c>
      <c r="BX22" s="171">
        <f>SUM(DotTracking!$T21:$X21,DotTracking!$AR21:$AV21,DotTracking!$BP21:$BT21,DotTracking!CN21:CR21)</f>
        <v>0</v>
      </c>
      <c r="BY22" s="28">
        <f t="shared" si="4"/>
        <v>0</v>
      </c>
    </row>
    <row r="23" spans="1:77" x14ac:dyDescent="0.25">
      <c r="A23" s="393" t="s">
        <v>32</v>
      </c>
      <c r="B23" s="389"/>
      <c r="C23" s="389"/>
      <c r="D23" s="389"/>
      <c r="E23" s="356" t="str">
        <f>IF(E22="primary",4-SUM(G19:H21),IF(E22="Secondary",3-SUM(G19:H21),IF(E22="Tertiary",2-SUM(G19:H21),"Select Priority")))</f>
        <v>Select Priority</v>
      </c>
      <c r="F23" s="356"/>
      <c r="G23" s="356"/>
      <c r="H23" s="356"/>
      <c r="I23" s="356"/>
      <c r="J23" s="356"/>
      <c r="K23" s="356"/>
      <c r="L23" s="401"/>
      <c r="M23" s="393" t="s">
        <v>26</v>
      </c>
      <c r="N23" s="389"/>
      <c r="O23" s="389"/>
      <c r="P23" s="389"/>
      <c r="Q23" s="356" t="str">
        <f>Creation!Q32</f>
        <v>Select God</v>
      </c>
      <c r="R23" s="356"/>
      <c r="S23" s="356"/>
      <c r="T23" s="356"/>
      <c r="U23" s="356">
        <f>LOOKUP(Q23,BW17:BW28,BX17:BX28)</f>
        <v>0</v>
      </c>
      <c r="V23" s="356"/>
      <c r="W23" s="356"/>
      <c r="X23" s="401"/>
      <c r="Y23" s="393" t="s">
        <v>54</v>
      </c>
      <c r="Z23" s="389"/>
      <c r="AA23" s="389"/>
      <c r="AB23" s="389"/>
      <c r="AC23" s="356">
        <f>SUM(DotTracking!T28:X28,DotTracking!AR28:AV28,DotTracking!BP28:BT28,DotTracking!CN28:CR28,DotTracking!ES26:EW26,DotTracking!FB26:FF26,DotTracking!FK26:FO26,DotTracking!FT26:FX26,DotTracking!GC26:GG26)</f>
        <v>0</v>
      </c>
      <c r="AD23" s="356"/>
      <c r="AE23" s="356"/>
      <c r="AF23" s="363"/>
      <c r="AG23" s="363"/>
      <c r="AH23" s="356">
        <f t="shared" si="0"/>
        <v>0</v>
      </c>
      <c r="AI23" s="356"/>
      <c r="AJ23" s="712"/>
      <c r="AK23" s="712"/>
      <c r="AL23" s="712"/>
      <c r="AM23" s="713"/>
      <c r="AN23" s="362"/>
      <c r="AO23" s="363"/>
      <c r="AP23" s="363"/>
      <c r="AQ23" s="363"/>
      <c r="AR23" s="363"/>
      <c r="AS23" s="363"/>
      <c r="AT23" s="356" t="str">
        <f t="shared" si="5"/>
        <v/>
      </c>
      <c r="AU23" s="356"/>
      <c r="AV23" s="401"/>
      <c r="AW23" s="362"/>
      <c r="AX23" s="363"/>
      <c r="AY23" s="363"/>
      <c r="AZ23" s="363"/>
      <c r="BA23" s="363"/>
      <c r="BB23" s="363"/>
      <c r="BC23" s="240"/>
      <c r="BD23" s="146">
        <f t="shared" si="1"/>
        <v>0</v>
      </c>
      <c r="BE23" s="356" t="str">
        <f>IF(AW23="","",HLOOKUP(AW23,AssociatedRef!$AP$1:$BZ$123,LOOKUP($CD$2,AssociatedRef!$AP$2:$AP$123,AssociatedRef!$AQ$2:$AQ$123),FALSE))</f>
        <v/>
      </c>
      <c r="BF23" s="356"/>
      <c r="BG23" s="161" t="s">
        <v>361</v>
      </c>
      <c r="BH23" s="149" t="str">
        <f t="shared" si="2"/>
        <v/>
      </c>
      <c r="BI23" s="362"/>
      <c r="BJ23" s="363"/>
      <c r="BK23" s="363"/>
      <c r="BL23" s="363"/>
      <c r="BM23" s="240"/>
      <c r="BN23" s="240"/>
      <c r="BO23" s="240"/>
      <c r="BP23" s="363"/>
      <c r="BQ23" s="363"/>
      <c r="BR23" s="363"/>
      <c r="BS23" s="363"/>
      <c r="BT23" s="369"/>
      <c r="BU23" s="2" t="s">
        <v>45</v>
      </c>
      <c r="BV23" s="171">
        <f>SUM(DotTracking!$T19:$X19,DotTracking!$AR19:$AV19,DotTracking!$BP19:$BT19,DotTracking!CN19:CR19)</f>
        <v>0</v>
      </c>
      <c r="BW23" s="2" t="s">
        <v>48</v>
      </c>
      <c r="BX23" s="171">
        <f>SUM(DotTracking!$T22:$X22,DotTracking!$AR22:$AV22,DotTracking!$BP22:$BT22,DotTracking!CN22:CR22)</f>
        <v>0</v>
      </c>
      <c r="BY23" s="28">
        <f t="shared" si="4"/>
        <v>0</v>
      </c>
    </row>
    <row r="24" spans="1:77" ht="15.75" thickBot="1" x14ac:dyDescent="0.3">
      <c r="A24" s="677"/>
      <c r="B24" s="356"/>
      <c r="C24" s="356"/>
      <c r="D24" s="356"/>
      <c r="E24" s="356"/>
      <c r="F24" s="356"/>
      <c r="G24" s="356"/>
      <c r="H24" s="356"/>
      <c r="I24" s="356"/>
      <c r="J24" s="356"/>
      <c r="K24" s="356"/>
      <c r="L24" s="401"/>
      <c r="M24" s="396" t="s">
        <v>27</v>
      </c>
      <c r="N24" s="395"/>
      <c r="O24" s="395"/>
      <c r="P24" s="395"/>
      <c r="Q24" s="434" t="str">
        <f>Creation!Q33</f>
        <v>Select God</v>
      </c>
      <c r="R24" s="434"/>
      <c r="S24" s="434"/>
      <c r="T24" s="434"/>
      <c r="U24" s="434">
        <f>LOOKUP(Q24,BW30:BW38,BX30:BX38)</f>
        <v>0</v>
      </c>
      <c r="V24" s="434"/>
      <c r="W24" s="434"/>
      <c r="X24" s="474"/>
      <c r="Y24" s="722" t="s">
        <v>536</v>
      </c>
      <c r="Z24" s="723"/>
      <c r="AA24" s="723"/>
      <c r="AB24" s="723"/>
      <c r="AC24" s="356">
        <f>SUM(DotTracking!T29:X29,DotTracking!AR29:AV29,DotTracking!BP29:BT29,DotTracking!CN29:CR29,DotTracking!ES27:EW27,DotTracking!FB27:FF27,DotTracking!FK27:FO27,DotTracking!FT27:FX27,DotTracking!GC27:GG27)</f>
        <v>0</v>
      </c>
      <c r="AD24" s="356"/>
      <c r="AE24" s="356"/>
      <c r="AF24" s="363"/>
      <c r="AG24" s="363"/>
      <c r="AH24" s="356">
        <f t="shared" si="0"/>
        <v>0</v>
      </c>
      <c r="AI24" s="356"/>
      <c r="AJ24" s="363"/>
      <c r="AK24" s="363"/>
      <c r="AL24" s="363"/>
      <c r="AM24" s="369"/>
      <c r="AN24" s="362"/>
      <c r="AO24" s="363"/>
      <c r="AP24" s="363"/>
      <c r="AQ24" s="363"/>
      <c r="AR24" s="363"/>
      <c r="AS24" s="363"/>
      <c r="AT24" s="356" t="str">
        <f t="shared" si="5"/>
        <v/>
      </c>
      <c r="AU24" s="356"/>
      <c r="AV24" s="401"/>
      <c r="AW24" s="362"/>
      <c r="AX24" s="363"/>
      <c r="AY24" s="363"/>
      <c r="AZ24" s="363"/>
      <c r="BA24" s="363"/>
      <c r="BB24" s="363"/>
      <c r="BC24" s="240"/>
      <c r="BD24" s="146">
        <f t="shared" si="1"/>
        <v>0</v>
      </c>
      <c r="BE24" s="356" t="str">
        <f>IF(AW24="","",HLOOKUP(AW24,AssociatedRef!$AP$1:$BZ$123,LOOKUP($CD$2,AssociatedRef!$AP$2:$AP$123,AssociatedRef!$AQ$2:$AQ$123),FALSE))</f>
        <v/>
      </c>
      <c r="BF24" s="356"/>
      <c r="BG24" s="161" t="s">
        <v>361</v>
      </c>
      <c r="BH24" s="149" t="str">
        <f t="shared" si="2"/>
        <v/>
      </c>
      <c r="BI24" s="362"/>
      <c r="BJ24" s="363"/>
      <c r="BK24" s="363"/>
      <c r="BL24" s="363"/>
      <c r="BM24" s="240"/>
      <c r="BN24" s="240"/>
      <c r="BO24" s="240"/>
      <c r="BP24" s="363"/>
      <c r="BQ24" s="363"/>
      <c r="BR24" s="363"/>
      <c r="BS24" s="363"/>
      <c r="BT24" s="369"/>
      <c r="BU24" s="1" t="s">
        <v>933</v>
      </c>
      <c r="BV24" s="171"/>
      <c r="BW24" s="2" t="s">
        <v>49</v>
      </c>
      <c r="BX24" s="171">
        <f>SUM(DotTracking!$T23:$X23,DotTracking!$AR23:$AV23,DotTracking!$BP23:$BT23,DotTracking!CN23:CR23)</f>
        <v>0</v>
      </c>
      <c r="BY24" s="28">
        <f t="shared" si="4"/>
        <v>0</v>
      </c>
    </row>
    <row r="25" spans="1:77" x14ac:dyDescent="0.25">
      <c r="A25" s="393" t="s">
        <v>16</v>
      </c>
      <c r="B25" s="389"/>
      <c r="C25" s="389"/>
      <c r="D25" s="389"/>
      <c r="E25" s="356">
        <f>SUM(DotTracking!E9:O9,DotTracking!AC9:AM9,DotTracking!BA9:BK9,DotTracking!BY9:CI9)</f>
        <v>1</v>
      </c>
      <c r="F25" s="356"/>
      <c r="G25" s="363"/>
      <c r="H25" s="363"/>
      <c r="I25" s="363"/>
      <c r="J25" s="363"/>
      <c r="K25" s="363"/>
      <c r="L25" s="369"/>
      <c r="M25" s="657"/>
      <c r="N25" s="657"/>
      <c r="O25" s="657"/>
      <c r="P25" s="657"/>
      <c r="Q25" s="657"/>
      <c r="R25" s="657"/>
      <c r="S25" s="657"/>
      <c r="T25" s="657"/>
      <c r="U25" s="657"/>
      <c r="V25" s="657"/>
      <c r="W25" s="657"/>
      <c r="X25" s="657"/>
      <c r="Y25" s="722" t="s">
        <v>536</v>
      </c>
      <c r="Z25" s="723"/>
      <c r="AA25" s="723"/>
      <c r="AB25" s="723"/>
      <c r="AC25" s="356">
        <f>SUM(DotTracking!T30:X30,DotTracking!AR30:AV30,DotTracking!BP30:BT30,DotTracking!CN30:CR30,DotTracking!ES28:EW28,DotTracking!FB28:FF28,DotTracking!FK28:FO28,DotTracking!FT28:FX28,DotTracking!GC28:GG28)</f>
        <v>0</v>
      </c>
      <c r="AD25" s="356"/>
      <c r="AE25" s="356"/>
      <c r="AF25" s="363"/>
      <c r="AG25" s="363"/>
      <c r="AH25" s="356">
        <f t="shared" si="0"/>
        <v>0</v>
      </c>
      <c r="AI25" s="356"/>
      <c r="AJ25" s="363"/>
      <c r="AK25" s="363"/>
      <c r="AL25" s="363"/>
      <c r="AM25" s="369"/>
      <c r="AN25" s="362"/>
      <c r="AO25" s="363"/>
      <c r="AP25" s="363"/>
      <c r="AQ25" s="363"/>
      <c r="AR25" s="363"/>
      <c r="AS25" s="363"/>
      <c r="AT25" s="356" t="str">
        <f t="shared" si="5"/>
        <v/>
      </c>
      <c r="AU25" s="356"/>
      <c r="AV25" s="401"/>
      <c r="AW25" s="362"/>
      <c r="AX25" s="363"/>
      <c r="AY25" s="363"/>
      <c r="AZ25" s="363"/>
      <c r="BA25" s="363"/>
      <c r="BB25" s="363"/>
      <c r="BC25" s="240"/>
      <c r="BD25" s="146">
        <f t="shared" si="1"/>
        <v>0</v>
      </c>
      <c r="BE25" s="356" t="str">
        <f>IF(AW25="","",HLOOKUP(AW25,AssociatedRef!$AP$1:$BZ$123,LOOKUP($CD$2,AssociatedRef!$AP$2:$AP$123,AssociatedRef!$AQ$2:$AQ$123),FALSE))</f>
        <v/>
      </c>
      <c r="BF25" s="356"/>
      <c r="BG25" s="161" t="s">
        <v>361</v>
      </c>
      <c r="BH25" s="149" t="str">
        <f t="shared" si="2"/>
        <v/>
      </c>
      <c r="BI25" s="362"/>
      <c r="BJ25" s="363"/>
      <c r="BK25" s="363"/>
      <c r="BL25" s="363"/>
      <c r="BM25" s="240"/>
      <c r="BN25" s="240"/>
      <c r="BO25" s="240"/>
      <c r="BP25" s="363"/>
      <c r="BQ25" s="363"/>
      <c r="BR25" s="363"/>
      <c r="BS25" s="363"/>
      <c r="BT25" s="369"/>
      <c r="BU25" s="2" t="s">
        <v>38</v>
      </c>
      <c r="BV25" s="171">
        <f>SUM(DotTracking!$T12:$X12,DotTracking!$AR12:$AV13,DotTracking!$BP12:$BT12,DotTracking!CN12:CR12)</f>
        <v>0</v>
      </c>
      <c r="BW25" s="2" t="s">
        <v>50</v>
      </c>
      <c r="BX25" s="171">
        <f>SUM(DotTracking!$T24:$X24,DotTracking!$AR24:$AV24,DotTracking!$BP24:$BT24,DotTracking!CN24:CR24)</f>
        <v>0</v>
      </c>
      <c r="BY25" s="28">
        <f t="shared" si="4"/>
        <v>0</v>
      </c>
    </row>
    <row r="26" spans="1:77" ht="15.75" thickBot="1" x14ac:dyDescent="0.3">
      <c r="A26" s="393" t="s">
        <v>17</v>
      </c>
      <c r="B26" s="389"/>
      <c r="C26" s="389"/>
      <c r="D26" s="389"/>
      <c r="E26" s="356">
        <f>SUM(DotTracking!E10:O10,DotTracking!AC10:AM10,DotTracking!BA10:BK10,DotTracking!BY10:CI10)</f>
        <v>1</v>
      </c>
      <c r="F26" s="356"/>
      <c r="G26" s="363"/>
      <c r="H26" s="363"/>
      <c r="I26" s="363"/>
      <c r="J26" s="363"/>
      <c r="K26" s="363"/>
      <c r="L26" s="369"/>
      <c r="M26" s="657"/>
      <c r="N26" s="657"/>
      <c r="O26" s="657"/>
      <c r="P26" s="657"/>
      <c r="Q26" s="657"/>
      <c r="R26" s="657"/>
      <c r="S26" s="657"/>
      <c r="T26" s="657"/>
      <c r="U26" s="657"/>
      <c r="V26" s="657"/>
      <c r="W26" s="657"/>
      <c r="X26" s="657"/>
      <c r="Y26" s="722" t="s">
        <v>536</v>
      </c>
      <c r="Z26" s="723"/>
      <c r="AA26" s="723"/>
      <c r="AB26" s="723"/>
      <c r="AC26" s="356">
        <f>SUM(DotTracking!T31:X31,DotTracking!AR31:AV31,DotTracking!BP31:BT31,DotTracking!CN31:CR31,DotTracking!ES29:EW29,DotTracking!FB29:FF29,DotTracking!FK29:FO29,DotTracking!FT29:FX29,DotTracking!GC29:GG29)</f>
        <v>0</v>
      </c>
      <c r="AD26" s="356"/>
      <c r="AE26" s="356"/>
      <c r="AF26" s="363"/>
      <c r="AG26" s="363"/>
      <c r="AH26" s="356">
        <f t="shared" si="0"/>
        <v>0</v>
      </c>
      <c r="AI26" s="356"/>
      <c r="AJ26" s="363"/>
      <c r="AK26" s="363"/>
      <c r="AL26" s="363"/>
      <c r="AM26" s="369"/>
      <c r="AN26" s="362"/>
      <c r="AO26" s="363"/>
      <c r="AP26" s="363"/>
      <c r="AQ26" s="363"/>
      <c r="AR26" s="363"/>
      <c r="AS26" s="363"/>
      <c r="AT26" s="356" t="str">
        <f t="shared" si="5"/>
        <v/>
      </c>
      <c r="AU26" s="356"/>
      <c r="AV26" s="401"/>
      <c r="AW26" s="362"/>
      <c r="AX26" s="363"/>
      <c r="AY26" s="363"/>
      <c r="AZ26" s="363"/>
      <c r="BA26" s="363"/>
      <c r="BB26" s="363"/>
      <c r="BC26" s="240"/>
      <c r="BD26" s="146">
        <f t="shared" si="1"/>
        <v>0</v>
      </c>
      <c r="BE26" s="356" t="str">
        <f>IF(AW26="","",HLOOKUP(AW26,AssociatedRef!$AP$1:$BZ$123,LOOKUP($CD$2,AssociatedRef!$AP$2:$AP$123,AssociatedRef!$AQ$2:$AQ$123),FALSE))</f>
        <v/>
      </c>
      <c r="BF26" s="356"/>
      <c r="BG26" s="161" t="s">
        <v>361</v>
      </c>
      <c r="BH26" s="149" t="str">
        <f t="shared" si="2"/>
        <v/>
      </c>
      <c r="BI26" s="362"/>
      <c r="BJ26" s="363"/>
      <c r="BK26" s="363"/>
      <c r="BL26" s="363"/>
      <c r="BM26" s="240"/>
      <c r="BN26" s="240"/>
      <c r="BO26" s="240"/>
      <c r="BP26" s="363"/>
      <c r="BQ26" s="363"/>
      <c r="BR26" s="363"/>
      <c r="BS26" s="363"/>
      <c r="BT26" s="369"/>
      <c r="BU26" s="2" t="s">
        <v>39</v>
      </c>
      <c r="BV26" s="171">
        <f>SUM(DotTracking!$T13:$X13,DotTracking!$AR13:$AV14,DotTracking!$BP13:$BT13,DotTracking!CN13:CR13)</f>
        <v>0</v>
      </c>
      <c r="BW26" s="2" t="s">
        <v>51</v>
      </c>
      <c r="BX26" s="171">
        <f>SUM(DotTracking!$T25:$X25,DotTracking!$AR25:$AV25,DotTracking!$BP25:$BT25,DotTracking!CN25:CR25)</f>
        <v>0</v>
      </c>
      <c r="BY26" s="28">
        <f t="shared" si="4"/>
        <v>0</v>
      </c>
    </row>
    <row r="27" spans="1:77" ht="15" customHeight="1" x14ac:dyDescent="0.25">
      <c r="A27" s="393" t="s">
        <v>18</v>
      </c>
      <c r="B27" s="389"/>
      <c r="C27" s="389"/>
      <c r="D27" s="389"/>
      <c r="E27" s="356">
        <f>SUM(DotTracking!E11:O11,DotTracking!AC11:AM11,DotTracking!BA11:BK11,DotTracking!BY11:CI11)</f>
        <v>1</v>
      </c>
      <c r="F27" s="356"/>
      <c r="G27" s="363"/>
      <c r="H27" s="363"/>
      <c r="I27" s="363"/>
      <c r="J27" s="363"/>
      <c r="K27" s="363"/>
      <c r="L27" s="369"/>
      <c r="M27" s="373" t="s">
        <v>31</v>
      </c>
      <c r="N27" s="374"/>
      <c r="O27" s="374"/>
      <c r="P27" s="374"/>
      <c r="Q27" s="374"/>
      <c r="R27" s="374"/>
      <c r="S27" s="374"/>
      <c r="T27" s="375"/>
      <c r="U27" s="373" t="s">
        <v>958</v>
      </c>
      <c r="V27" s="374"/>
      <c r="W27" s="374"/>
      <c r="X27" s="375"/>
      <c r="Y27" s="722" t="s">
        <v>536</v>
      </c>
      <c r="Z27" s="723"/>
      <c r="AA27" s="723"/>
      <c r="AB27" s="723"/>
      <c r="AC27" s="356">
        <f>SUM(DotTracking!T32:X32,DotTracking!AR32:AV32,DotTracking!BP32:BT32,DotTracking!CN32:CR32,DotTracking!ES30:EW30,DotTracking!FB30:FF30,DotTracking!FK30:FO30,DotTracking!FT30:FX30,DotTracking!GC30:GG30)</f>
        <v>0</v>
      </c>
      <c r="AD27" s="356"/>
      <c r="AE27" s="356"/>
      <c r="AF27" s="363"/>
      <c r="AG27" s="363"/>
      <c r="AH27" s="356">
        <f t="shared" si="0"/>
        <v>0</v>
      </c>
      <c r="AI27" s="356"/>
      <c r="AJ27" s="363"/>
      <c r="AK27" s="363"/>
      <c r="AL27" s="363"/>
      <c r="AM27" s="369"/>
      <c r="AN27" s="362"/>
      <c r="AO27" s="363"/>
      <c r="AP27" s="363"/>
      <c r="AQ27" s="363"/>
      <c r="AR27" s="363"/>
      <c r="AS27" s="363"/>
      <c r="AT27" s="356" t="str">
        <f t="shared" si="5"/>
        <v/>
      </c>
      <c r="AU27" s="356"/>
      <c r="AV27" s="401"/>
      <c r="AW27" s="362"/>
      <c r="AX27" s="363"/>
      <c r="AY27" s="363"/>
      <c r="AZ27" s="363"/>
      <c r="BA27" s="363"/>
      <c r="BB27" s="363"/>
      <c r="BC27" s="240"/>
      <c r="BD27" s="146">
        <f t="shared" si="1"/>
        <v>0</v>
      </c>
      <c r="BE27" s="356" t="str">
        <f>IF(AW27="","",HLOOKUP(AW27,AssociatedRef!$AP$1:$BZ$123,LOOKUP($CD$2,AssociatedRef!$AP$2:$AP$123,AssociatedRef!$AQ$2:$AQ$123),FALSE))</f>
        <v/>
      </c>
      <c r="BF27" s="356"/>
      <c r="BG27" s="161" t="s">
        <v>361</v>
      </c>
      <c r="BH27" s="149" t="str">
        <f t="shared" si="2"/>
        <v/>
      </c>
      <c r="BI27" s="362"/>
      <c r="BJ27" s="363"/>
      <c r="BK27" s="363"/>
      <c r="BL27" s="363"/>
      <c r="BM27" s="240"/>
      <c r="BN27" s="240"/>
      <c r="BO27" s="240"/>
      <c r="BP27" s="363"/>
      <c r="BQ27" s="363"/>
      <c r="BR27" s="363"/>
      <c r="BS27" s="363"/>
      <c r="BT27" s="369"/>
      <c r="BU27" s="2" t="s">
        <v>40</v>
      </c>
      <c r="BV27" s="171">
        <f>SUM(DotTracking!$T14:$X14,DotTracking!$AR14:$AV15,DotTracking!$BP14:$BT14,DotTracking!CN14:CR14)</f>
        <v>0</v>
      </c>
      <c r="BW27" s="2" t="s">
        <v>58</v>
      </c>
      <c r="BX27" s="171">
        <f>SUM(IF(DotTracking!P29="Science",DotTracking!T29:X29,0),IF(DotTracking!AN29="Science",DotTracking!AR29:AV29,0),IF(DotTracking!BL29="Science",DotTracking!BP29:BT29,0),IF(DotTracking!P30="Science",DotTracking!T30:X30,0),IF(DotTracking!AN30="Science",DotTracking!AR30:AV30,0),IF(DotTracking!BL30="Science",DotTracking!BP30:BT30,0),IF(DotTracking!P32="Science",DotTracking!T32:X32,0),IF(DotTracking!AN32="Science",DotTracking!AR32:AV32,0),IF(DotTracking!BL32="Science",DotTracking!BP32:BT32,0),IF(DotTracking!P31="Science",DotTracking!T31:X31,0),IF(DotTracking!AN31="Science",DotTracking!AR31:AV31,0),IF(DotTracking!BL31="Science",DotTracking!BP31:BT31,0),IF(DotTracking!P33="Science",DotTracking!T33:X33,0),IF(DotTracking!AN33="Science",DotTracking!AR33:AV33,0),IF(DotTracking!BL33="Science",DotTracking!BP33:BT33,0),IF(DotTracking!P34="Science",DotTracking!T34:X34,0),IF(DotTracking!AN34="Science",DotTracking!AR34:AV34,0),IF(DotTracking!BL34="Science",DotTracking!BP34:BT34,0),IF(DotTracking!P35="Science",DotTracking!T35:X35,0),IF(DotTracking!AN35="Science",DotTracking!AR35:AV35,0),IF(DotTracking!BL35="Science",DotTracking!BP35:BT35,0),IF(DotTracking!P36="Science",DotTracking!T36:X36,0),IF(DotTracking!AN36="Science",DotTracking!AR36:AV36,0),IF(DotTracking!BL36="Science",DotTracking!BP36:BT36,0),IF(DotTracking!P37="Science",DotTracking!T37:X37,0),IF(DotTracking!AN37="Science",DotTracking!AR37:AV37,0),IF(DotTracking!BL37="Science",DotTracking!BP37:BT37,0),IF(DotTracking!P38="Science",DotTracking!T38:X38,0),IF(DotTracking!AN38="Science",DotTracking!AR38:AV38,0),IF(DotTracking!BL38="Science",DotTracking!BP38:BT38,0),IF(DotTracking!CJ29="Science",DotTracking!CN29:CR29,0),IF(DotTracking!CJ30="Science",DotTracking!CN30:CR30,0),IF(DotTracking!CJ31="Science",DotTracking!CN31:CR31,0),IF(DotTracking!CJ32="Science",DotTracking!CN32:CR32,0),IF(DotTracking!CJ33="Science",DotTracking!CN33:CR33,0),IF(DotTracking!CJ34="Science",DotTracking!CN34:CR34,0),IF(DotTracking!CJ35="Science",DotTracking!CN35:CR35,0),IF(DotTracking!CJ36="Science",DotTracking!CN36:CR36,0),IF(DotTracking!CJ37="Science",DotTracking!CN37:CR37,0),IF(DotTracking!CJ38="Science",DotTracking!CN38:CR38,0),0)</f>
        <v>0</v>
      </c>
      <c r="BY27" s="28">
        <f t="shared" si="4"/>
        <v>0</v>
      </c>
    </row>
    <row r="28" spans="1:77" ht="15.75" customHeight="1" thickBot="1" x14ac:dyDescent="0.3">
      <c r="A28" s="393" t="s">
        <v>15</v>
      </c>
      <c r="B28" s="389"/>
      <c r="C28" s="389"/>
      <c r="D28" s="389"/>
      <c r="E28" s="726" t="s">
        <v>59</v>
      </c>
      <c r="F28" s="726"/>
      <c r="G28" s="726"/>
      <c r="H28" s="726"/>
      <c r="I28" s="356"/>
      <c r="J28" s="356"/>
      <c r="K28" s="356"/>
      <c r="L28" s="401"/>
      <c r="M28" s="376"/>
      <c r="N28" s="377"/>
      <c r="O28" s="377"/>
      <c r="P28" s="377"/>
      <c r="Q28" s="377"/>
      <c r="R28" s="377"/>
      <c r="S28" s="377"/>
      <c r="T28" s="418"/>
      <c r="U28" s="376"/>
      <c r="V28" s="377"/>
      <c r="W28" s="377"/>
      <c r="X28" s="418"/>
      <c r="Y28" s="722" t="s">
        <v>536</v>
      </c>
      <c r="Z28" s="723"/>
      <c r="AA28" s="723"/>
      <c r="AB28" s="723"/>
      <c r="AC28" s="356">
        <f>SUM(DotTracking!T33:X33,DotTracking!AR33:AV33,DotTracking!BP33:BT33,DotTracking!CN33:CR33,DotTracking!ES31:EW31,DotTracking!FB31:FF31,DotTracking!FK31:FO31,DotTracking!FT31:FX31,DotTracking!GC31:GG31)</f>
        <v>0</v>
      </c>
      <c r="AD28" s="356"/>
      <c r="AE28" s="356"/>
      <c r="AF28" s="363"/>
      <c r="AG28" s="363"/>
      <c r="AH28" s="356">
        <f t="shared" si="0"/>
        <v>0</v>
      </c>
      <c r="AI28" s="356"/>
      <c r="AJ28" s="363"/>
      <c r="AK28" s="363"/>
      <c r="AL28" s="363"/>
      <c r="AM28" s="369"/>
      <c r="AN28" s="362"/>
      <c r="AO28" s="363"/>
      <c r="AP28" s="363"/>
      <c r="AQ28" s="363"/>
      <c r="AR28" s="363"/>
      <c r="AS28" s="363"/>
      <c r="AT28" s="356" t="str">
        <f t="shared" si="5"/>
        <v/>
      </c>
      <c r="AU28" s="356"/>
      <c r="AV28" s="401"/>
      <c r="AW28" s="362"/>
      <c r="AX28" s="363"/>
      <c r="AY28" s="363"/>
      <c r="AZ28" s="363"/>
      <c r="BA28" s="363"/>
      <c r="BB28" s="363"/>
      <c r="BC28" s="240"/>
      <c r="BD28" s="146">
        <f t="shared" si="1"/>
        <v>0</v>
      </c>
      <c r="BE28" s="356" t="str">
        <f>IF(AW28="","",HLOOKUP(AW28,AssociatedRef!$AP$1:$BZ$123,LOOKUP($CD$2,AssociatedRef!$AP$2:$AP$123,AssociatedRef!$AQ$2:$AQ$123),FALSE))</f>
        <v/>
      </c>
      <c r="BF28" s="356"/>
      <c r="BG28" s="161" t="s">
        <v>361</v>
      </c>
      <c r="BH28" s="149" t="str">
        <f t="shared" si="2"/>
        <v/>
      </c>
      <c r="BI28" s="729"/>
      <c r="BJ28" s="727"/>
      <c r="BK28" s="727"/>
      <c r="BL28" s="727"/>
      <c r="BM28" s="254"/>
      <c r="BN28" s="240"/>
      <c r="BO28" s="240"/>
      <c r="BP28" s="727"/>
      <c r="BQ28" s="727"/>
      <c r="BR28" s="727"/>
      <c r="BS28" s="727"/>
      <c r="BT28" s="728"/>
      <c r="BU28" s="2" t="s">
        <v>56</v>
      </c>
      <c r="BV28" s="171">
        <f>SUM(IF(DotTracking!P29="Control",DotTracking!T29:X29,0),IF(DotTracking!AN29="Control",DotTracking!AR29:AV29,0),IF(DotTracking!BL29="Control",DotTracking!BP29:BT29,0),IF(DotTracking!P30="Control",DotTracking!T30:X30,0),IF(DotTracking!AN30="Control",DotTracking!AR30:AV30,0),IF(DotTracking!BL30="Control",DotTracking!BP30:BT30,0),IF(DotTracking!P32="Control",DotTracking!T32:X32,0),IF(DotTracking!AN32="Control",DotTracking!AR32:AV32,0),IF(DotTracking!BL32="Control",DotTracking!BP32:BT32,0),IF(DotTracking!P31="Control",DotTracking!T31:X31,0),IF(DotTracking!AN31="Control",DotTracking!AR31:AV31,0),IF(DotTracking!BL31="Control",DotTracking!BP31:BT31,0),IF(DotTracking!P33="Control",DotTracking!T33:X33,0),IF(DotTracking!AN33="Control",DotTracking!AR33:AV33,0),IF(DotTracking!BL33="Control",DotTracking!BP33:BT33,0),IF(DotTracking!P34="Control",DotTracking!T34:X34,0),IF(DotTracking!AN34="Control",DotTracking!AR34:AV34,0),IF(DotTracking!BL34="Control",DotTracking!BP34:BT34,0),IF(DotTracking!P35="Control",DotTracking!T35:X35,0),IF(DotTracking!AN35="Control",DotTracking!AR35:AV35,0),IF(DotTracking!BL35="Control",DotTracking!BP35:BT35,0),IF(DotTracking!P36="Control",DotTracking!T36:X36,0),IF(DotTracking!AN36="Control",DotTracking!AR36:AV36,0),IF(DotTracking!BL36="Control",DotTracking!BP36:BT36,0),IF(DotTracking!P37="Control",DotTracking!T37:X37,0),IF(DotTracking!AN37="Control",DotTracking!AR37:AV37,0),IF(DotTracking!BL37="Control",DotTracking!BP37:BT37,0),IF(DotTracking!P38="Control",DotTracking!T38:X38,0),IF(DotTracking!AN38="Control",DotTracking!AR38:AV38,0),IF(DotTracking!BL38="Control",DotTracking!BP38:BT38,0),IF(DotTracking!CJ29="Control",DotTracking!CN29:CR29,0),IF(DotTracking!CJ30="Control",DotTracking!CN30:CR30,0),IF(DotTracking!CJ31="Control",DotTracking!CN31:CR31,0),IF(DotTracking!CJ32="Control",DotTracking!CN32:CR32,0),IF(DotTracking!CJ33="Control",DotTracking!CN33:CR33,0),IF(DotTracking!CJ34="Control",DotTracking!CN34:CR34,0),IF(DotTracking!CJ35="Control",DotTracking!CN35:CR35,0),IF(DotTracking!CJ36="Control",DotTracking!CN36:CR36,0),IF(DotTracking!CJ37="Control",DotTracking!CN37:CR37,0),IF(DotTracking!CJ38="Control",DotTracking!CN38:CR38,0),0)</f>
        <v>0</v>
      </c>
      <c r="BW28" s="2" t="s">
        <v>52</v>
      </c>
      <c r="BX28" s="171">
        <f>SUM(DotTracking!$T26:$X26,DotTracking!$AR26:$AV26,DotTracking!$BP26:$BT26,DotTracking!CN26:CR26)</f>
        <v>0</v>
      </c>
      <c r="BY28" s="28">
        <f t="shared" si="4"/>
        <v>0</v>
      </c>
    </row>
    <row r="29" spans="1:77" ht="15" customHeight="1" x14ac:dyDescent="0.25">
      <c r="A29" s="393" t="s">
        <v>32</v>
      </c>
      <c r="B29" s="389"/>
      <c r="C29" s="389"/>
      <c r="D29" s="389"/>
      <c r="E29" s="356" t="str">
        <f>IF(E28="primary",4-SUM(G25:H27),IF(E28="Secondary",3-SUM(G25:H27),IF(E28="Tertiary",2-SUM(G25:H27),"Select Priority")))</f>
        <v>Select Priority</v>
      </c>
      <c r="F29" s="356"/>
      <c r="G29" s="356"/>
      <c r="H29" s="356"/>
      <c r="I29" s="356"/>
      <c r="J29" s="356"/>
      <c r="K29" s="356"/>
      <c r="L29" s="401"/>
      <c r="M29" s="680"/>
      <c r="N29" s="417"/>
      <c r="O29" s="417"/>
      <c r="P29" s="417"/>
      <c r="Q29" s="391" t="s">
        <v>10</v>
      </c>
      <c r="R29" s="391"/>
      <c r="S29" s="391" t="s">
        <v>11</v>
      </c>
      <c r="T29" s="409"/>
      <c r="U29" s="392" t="s">
        <v>65</v>
      </c>
      <c r="V29" s="391"/>
      <c r="W29" s="417">
        <f>SUM(DotTracking!F26:O26,DotTracking!AD26:AM26,DotTracking!BB26:BK26,DotTracking!BZ26:CI26)</f>
        <v>5</v>
      </c>
      <c r="X29" s="637"/>
      <c r="Y29" s="722" t="s">
        <v>536</v>
      </c>
      <c r="Z29" s="723"/>
      <c r="AA29" s="723"/>
      <c r="AB29" s="723"/>
      <c r="AC29" s="356">
        <f>SUM(DotTracking!T34:X34,DotTracking!AR34:AV34,DotTracking!BP34:BT34,DotTracking!CN34:CR34,DotTracking!ES32:EW32,DotTracking!FB32:FF32,DotTracking!FK32:FO32,DotTracking!FT32:FX32,DotTracking!GC32:GG32)</f>
        <v>0</v>
      </c>
      <c r="AD29" s="356"/>
      <c r="AE29" s="356"/>
      <c r="AF29" s="363"/>
      <c r="AG29" s="363"/>
      <c r="AH29" s="356">
        <f t="shared" si="0"/>
        <v>0</v>
      </c>
      <c r="AI29" s="356"/>
      <c r="AJ29" s="363"/>
      <c r="AK29" s="363"/>
      <c r="AL29" s="363"/>
      <c r="AM29" s="369"/>
      <c r="AN29" s="362"/>
      <c r="AO29" s="363"/>
      <c r="AP29" s="363"/>
      <c r="AQ29" s="363"/>
      <c r="AR29" s="363"/>
      <c r="AS29" s="363"/>
      <c r="AT29" s="356" t="str">
        <f t="shared" si="5"/>
        <v/>
      </c>
      <c r="AU29" s="356"/>
      <c r="AV29" s="401"/>
      <c r="AW29" s="362"/>
      <c r="AX29" s="363"/>
      <c r="AY29" s="363"/>
      <c r="AZ29" s="363"/>
      <c r="BA29" s="363"/>
      <c r="BB29" s="363"/>
      <c r="BC29" s="240"/>
      <c r="BD29" s="146">
        <f t="shared" si="1"/>
        <v>0</v>
      </c>
      <c r="BE29" s="356" t="str">
        <f>IF(AW29="","",HLOOKUP(AW29,AssociatedRef!$AP$1:$BZ$123,LOOKUP($CD$2,AssociatedRef!$AP$2:$AP$123,AssociatedRef!$AQ$2:$AQ$123),FALSE))</f>
        <v/>
      </c>
      <c r="BF29" s="356"/>
      <c r="BG29" s="161" t="s">
        <v>361</v>
      </c>
      <c r="BH29" s="149" t="str">
        <f t="shared" si="2"/>
        <v/>
      </c>
      <c r="BI29" s="373" t="s">
        <v>156</v>
      </c>
      <c r="BJ29" s="374"/>
      <c r="BK29" s="374"/>
      <c r="BL29" s="374"/>
      <c r="BM29" s="374"/>
      <c r="BN29" s="374"/>
      <c r="BO29" s="374"/>
      <c r="BP29" s="374"/>
      <c r="BQ29" s="374"/>
      <c r="BR29" s="374"/>
      <c r="BS29" s="374"/>
      <c r="BT29" s="375"/>
      <c r="BU29" s="2" t="s">
        <v>57</v>
      </c>
      <c r="BV29" s="171">
        <f>SUM(IF(DotTracking!P29="Craft",DotTracking!T29:X29,0),IF(DotTracking!AN29="Craft",DotTracking!AR29:AV29,0),IF(DotTracking!BL29="Craft",DotTracking!BP29:BT29,0),IF(DotTracking!P30="Craft",DotTracking!T30:X30,0),IF(DotTracking!AN30="Craft",DotTracking!AR30:AV30,0),IF(DotTracking!BL30="Craft",DotTracking!BP30:BT30,0),IF(DotTracking!P32="Craft",DotTracking!T32:X32,0),IF(DotTracking!AN32="Craft",DotTracking!AR32:AV32,0),IF(DotTracking!BL32="Craft",DotTracking!BP32:BT32,0),IF(DotTracking!P31="Craft",DotTracking!T31:X31,0),IF(DotTracking!AN31="Craft",DotTracking!AR31:AV31,0),IF(DotTracking!BL31="Craft",DotTracking!BP31:BT31,0),IF(DotTracking!P33="Craft",DotTracking!T33:X33,0),IF(DotTracking!AN33="Craft",DotTracking!AR33:AV33,0),IF(DotTracking!BL33="Craft",DotTracking!BP33:BT33,0),IF(DotTracking!P34="Craft",DotTracking!T34:X34,0),IF(DotTracking!AN34="Craft",DotTracking!AR34:AV34,0),IF(DotTracking!BL34="Craft",DotTracking!BP34:BT34,0),IF(DotTracking!P35="Craft",DotTracking!T35:X35,0),IF(DotTracking!AN35="Craft",DotTracking!AR35:AV35,0),IF(DotTracking!BL35="Craft",DotTracking!BP35:BT35,0),IF(DotTracking!P36="Craft",DotTracking!T36:X36,0),IF(DotTracking!AN36="Craft",DotTracking!AR36:AV36,0),IF(DotTracking!BL36="Craft",DotTracking!BP36:BT36,0),IF(DotTracking!P37="Craft",DotTracking!T37:X37,0),IF(DotTracking!AN37="Craft",DotTracking!AR37:AV37,0),IF(DotTracking!BL37="Craft",DotTracking!BP37:BT37,0),IF(DotTracking!P38="Craft",DotTracking!T38:X38,0),IF(DotTracking!AN38="Craft",DotTracking!AR38:AV38,0),IF(DotTracking!BL38="Craft",DotTracking!BP38:BT38,0),IF(DotTracking!CJ29="Craft",DotTracking!CN29:CR29,0),IF(DotTracking!CJ30="Craft",DotTracking!CN30:CR30,0),IF(DotTracking!CJ31="Craft",DotTracking!CN31:CR31,0),IF(DotTracking!CJ32="Craft",DotTracking!CN32:CR32,0),IF(DotTracking!CJ33="Craft",DotTracking!CN33:CR33,0),IF(DotTracking!CJ34="Craft",DotTracking!CN34:CR34,0),IF(DotTracking!CJ35="Craft",DotTracking!CN35:CR35,0),IF(DotTracking!CJ36="Craft",DotTracking!CN36:CR36,0),IF(DotTracking!CJ37="Craft",DotTracking!CN37:CR37,0),IF(DotTracking!CJ38="Craft",DotTracking!CN38:CR38,0),0)</f>
        <v>0</v>
      </c>
      <c r="BW29" s="1" t="s">
        <v>936</v>
      </c>
      <c r="BX29" s="171"/>
      <c r="BY29" s="28">
        <f t="shared" si="4"/>
        <v>0</v>
      </c>
    </row>
    <row r="30" spans="1:77" ht="15.75" customHeight="1" thickBot="1" x14ac:dyDescent="0.3">
      <c r="A30" s="677"/>
      <c r="B30" s="356"/>
      <c r="C30" s="356"/>
      <c r="D30" s="356"/>
      <c r="E30" s="356"/>
      <c r="F30" s="356"/>
      <c r="G30" s="356"/>
      <c r="H30" s="356"/>
      <c r="I30" s="356"/>
      <c r="J30" s="356"/>
      <c r="K30" s="356"/>
      <c r="L30" s="401"/>
      <c r="M30" s="393" t="str">
        <f>Creation!Q19</f>
        <v>Select Pantheon</v>
      </c>
      <c r="N30" s="389"/>
      <c r="O30" s="389"/>
      <c r="P30" s="389"/>
      <c r="Q30" s="356">
        <f>SUM(DotTracking!T4:X4,DotTracking!AR4:AV4,DotTracking!BP4:BT4,DotTracking!CN4:CR4)</f>
        <v>1</v>
      </c>
      <c r="R30" s="356"/>
      <c r="S30" s="363"/>
      <c r="T30" s="369"/>
      <c r="U30" s="396" t="s">
        <v>11</v>
      </c>
      <c r="V30" s="395"/>
      <c r="W30" s="366"/>
      <c r="X30" s="372"/>
      <c r="Y30" s="722" t="s">
        <v>536</v>
      </c>
      <c r="Z30" s="723"/>
      <c r="AA30" s="723"/>
      <c r="AB30" s="723"/>
      <c r="AC30" s="356">
        <f>SUM(DotTracking!T35:X35,DotTracking!AR35:AV35,DotTracking!BP35:BT35,DotTracking!CN35:CR35,DotTracking!ES33:EW33,DotTracking!FB33:FF33,DotTracking!FK33:FO33,DotTracking!FT33:FX33,DotTracking!GC33:GG33)</f>
        <v>0</v>
      </c>
      <c r="AD30" s="356"/>
      <c r="AE30" s="356"/>
      <c r="AF30" s="363"/>
      <c r="AG30" s="363"/>
      <c r="AH30" s="356">
        <f t="shared" si="0"/>
        <v>0</v>
      </c>
      <c r="AI30" s="356"/>
      <c r="AJ30" s="363"/>
      <c r="AK30" s="363"/>
      <c r="AL30" s="363"/>
      <c r="AM30" s="369"/>
      <c r="AN30" s="362"/>
      <c r="AO30" s="363"/>
      <c r="AP30" s="363"/>
      <c r="AQ30" s="363"/>
      <c r="AR30" s="363"/>
      <c r="AS30" s="363"/>
      <c r="AT30" s="356" t="str">
        <f t="shared" si="5"/>
        <v/>
      </c>
      <c r="AU30" s="356"/>
      <c r="AV30" s="401"/>
      <c r="AW30" s="362"/>
      <c r="AX30" s="363"/>
      <c r="AY30" s="363"/>
      <c r="AZ30" s="363"/>
      <c r="BA30" s="363"/>
      <c r="BB30" s="363"/>
      <c r="BC30" s="240"/>
      <c r="BD30" s="146">
        <f t="shared" si="1"/>
        <v>0</v>
      </c>
      <c r="BE30" s="356" t="str">
        <f>IF(AW30="","",HLOOKUP(AW30,AssociatedRef!$AP$1:$BZ$123,LOOKUP($CD$2,AssociatedRef!$AP$2:$AP$123,AssociatedRef!$AQ$2:$AQ$123),FALSE))</f>
        <v/>
      </c>
      <c r="BF30" s="356"/>
      <c r="BG30" s="161" t="s">
        <v>361</v>
      </c>
      <c r="BH30" s="149" t="str">
        <f t="shared" si="2"/>
        <v/>
      </c>
      <c r="BI30" s="376"/>
      <c r="BJ30" s="377"/>
      <c r="BK30" s="377"/>
      <c r="BL30" s="377"/>
      <c r="BM30" s="377"/>
      <c r="BN30" s="377"/>
      <c r="BO30" s="377"/>
      <c r="BP30" s="377"/>
      <c r="BQ30" s="377"/>
      <c r="BR30" s="377"/>
      <c r="BS30" s="377"/>
      <c r="BT30" s="418"/>
      <c r="BU30" s="2" t="s">
        <v>41</v>
      </c>
      <c r="BV30" s="171">
        <f>SUM(DotTracking!$T15:$X15,DotTracking!$AR15:$AV15,DotTracking!$BP15:$BT15,DotTracking!CN15:CR15)</f>
        <v>0</v>
      </c>
      <c r="BW30" s="2" t="s">
        <v>43</v>
      </c>
      <c r="BX30" s="171">
        <f>SUM(DotTracking!$T17:$X17,DotTracking!$AR17:$AV17,DotTracking!$BP17:$BT17,DotTracking!CN17:CR17)</f>
        <v>0</v>
      </c>
      <c r="BY30" s="28">
        <f t="shared" si="4"/>
        <v>0</v>
      </c>
    </row>
    <row r="31" spans="1:77" x14ac:dyDescent="0.25">
      <c r="A31" s="393" t="s">
        <v>19</v>
      </c>
      <c r="B31" s="389"/>
      <c r="C31" s="389"/>
      <c r="D31" s="389"/>
      <c r="E31" s="356">
        <f>SUM(DotTracking!E12:O12,DotTracking!AC12:AM12,DotTracking!BA12:BK12,DotTracking!BY12:CI12)</f>
        <v>1</v>
      </c>
      <c r="F31" s="356"/>
      <c r="G31" s="363"/>
      <c r="H31" s="363"/>
      <c r="I31" s="363"/>
      <c r="J31" s="363"/>
      <c r="K31" s="363"/>
      <c r="L31" s="369"/>
      <c r="M31" s="393" t="str">
        <f>Creation!Q20</f>
        <v>Select Pantheon</v>
      </c>
      <c r="N31" s="389"/>
      <c r="O31" s="389"/>
      <c r="P31" s="389"/>
      <c r="Q31" s="356">
        <f>SUM(DotTracking!T5:X5,DotTracking!AR5:AV5,DotTracking!BP5:BT5,DotTracking!CN5:CR5)</f>
        <v>1</v>
      </c>
      <c r="R31" s="356"/>
      <c r="S31" s="363"/>
      <c r="T31" s="369"/>
      <c r="U31" s="657"/>
      <c r="V31" s="657"/>
      <c r="W31" s="657"/>
      <c r="X31" s="657"/>
      <c r="Y31" s="722" t="s">
        <v>536</v>
      </c>
      <c r="Z31" s="723"/>
      <c r="AA31" s="723"/>
      <c r="AB31" s="723"/>
      <c r="AC31" s="356">
        <f>SUM(DotTracking!T36:X36,DotTracking!AR36:AV36,DotTracking!BP36:BT36,DotTracking!CN36:CR36,DotTracking!ES34:EW34,DotTracking!FB34:FF34,DotTracking!FK34:FO34,DotTracking!FT34:FX34,DotTracking!GC34:GG34)</f>
        <v>0</v>
      </c>
      <c r="AD31" s="356"/>
      <c r="AE31" s="356"/>
      <c r="AF31" s="363"/>
      <c r="AG31" s="363"/>
      <c r="AH31" s="356">
        <f t="shared" si="0"/>
        <v>0</v>
      </c>
      <c r="AI31" s="356"/>
      <c r="AJ31" s="363"/>
      <c r="AK31" s="363"/>
      <c r="AL31" s="363"/>
      <c r="AM31" s="369"/>
      <c r="AN31" s="362"/>
      <c r="AO31" s="363"/>
      <c r="AP31" s="363"/>
      <c r="AQ31" s="363"/>
      <c r="AR31" s="363"/>
      <c r="AS31" s="363"/>
      <c r="AT31" s="356" t="str">
        <f t="shared" si="5"/>
        <v/>
      </c>
      <c r="AU31" s="356"/>
      <c r="AV31" s="401"/>
      <c r="AW31" s="362"/>
      <c r="AX31" s="363"/>
      <c r="AY31" s="363"/>
      <c r="AZ31" s="363"/>
      <c r="BA31" s="363"/>
      <c r="BB31" s="363"/>
      <c r="BC31" s="240"/>
      <c r="BD31" s="146">
        <f t="shared" si="1"/>
        <v>0</v>
      </c>
      <c r="BE31" s="356" t="str">
        <f>IF(AW31="","",HLOOKUP(AW31,AssociatedRef!$AP$1:$BZ$123,LOOKUP($CD$2,AssociatedRef!$AP$2:$AP$123,AssociatedRef!$AQ$2:$AQ$123),FALSE))</f>
        <v/>
      </c>
      <c r="BF31" s="356"/>
      <c r="BG31" s="161" t="s">
        <v>361</v>
      </c>
      <c r="BH31" s="149" t="str">
        <f t="shared" si="2"/>
        <v/>
      </c>
      <c r="BI31" s="392" t="s">
        <v>75</v>
      </c>
      <c r="BJ31" s="391"/>
      <c r="BK31" s="391"/>
      <c r="BL31" s="391"/>
      <c r="BM31" s="144" t="s">
        <v>76</v>
      </c>
      <c r="BN31" s="391" t="s">
        <v>11</v>
      </c>
      <c r="BO31" s="391"/>
      <c r="BP31" s="391" t="s">
        <v>77</v>
      </c>
      <c r="BQ31" s="391"/>
      <c r="BR31" s="391"/>
      <c r="BS31" s="391"/>
      <c r="BT31" s="409"/>
      <c r="BU31" s="2" t="s">
        <v>42</v>
      </c>
      <c r="BV31" s="171">
        <f>SUM(DotTracking!$T16:$X16,DotTracking!$AR16:$AV16,DotTracking!$BP16:$BT16,DotTracking!CN16:CR16)</f>
        <v>0</v>
      </c>
      <c r="BW31" s="2" t="s">
        <v>48</v>
      </c>
      <c r="BX31" s="171">
        <f>SUM(DotTracking!$T22:$X22,DotTracking!$AR22:$AV22,DotTracking!$BP22:$BT22,DotTracking!CN22:CR22)</f>
        <v>0</v>
      </c>
      <c r="BY31" s="28">
        <f t="shared" si="4"/>
        <v>0</v>
      </c>
    </row>
    <row r="32" spans="1:77" x14ac:dyDescent="0.25">
      <c r="A32" s="393" t="s">
        <v>20</v>
      </c>
      <c r="B32" s="389"/>
      <c r="C32" s="389"/>
      <c r="D32" s="389"/>
      <c r="E32" s="356">
        <f>SUM(DotTracking!E13:O13,DotTracking!AC13:AM13,DotTracking!BA13:BK13,DotTracking!BY13:CI13)</f>
        <v>1</v>
      </c>
      <c r="F32" s="356"/>
      <c r="G32" s="363"/>
      <c r="H32" s="363"/>
      <c r="I32" s="363"/>
      <c r="J32" s="363"/>
      <c r="K32" s="363"/>
      <c r="L32" s="369"/>
      <c r="M32" s="393" t="str">
        <f>Creation!Q21</f>
        <v>Select Pantheon</v>
      </c>
      <c r="N32" s="389"/>
      <c r="O32" s="389"/>
      <c r="P32" s="389"/>
      <c r="Q32" s="356">
        <f>SUM(DotTracking!T6:X6,DotTracking!AR6:AV6,DotTracking!BP6:BT6,DotTracking!CN6:CR6)</f>
        <v>1</v>
      </c>
      <c r="R32" s="356"/>
      <c r="S32" s="363"/>
      <c r="T32" s="369"/>
      <c r="U32" s="657"/>
      <c r="V32" s="657"/>
      <c r="W32" s="657"/>
      <c r="X32" s="657"/>
      <c r="Y32" s="722" t="s">
        <v>536</v>
      </c>
      <c r="Z32" s="723"/>
      <c r="AA32" s="723"/>
      <c r="AB32" s="723"/>
      <c r="AC32" s="356">
        <f>SUM(DotTracking!T37:X37,DotTracking!AR37:AV37,DotTracking!BP37:BT37,DotTracking!CN37:CR37,DotTracking!ES35:EW35,DotTracking!FB35:FF35,DotTracking!FK35:FO35,DotTracking!FT35:FX35,DotTracking!GC35:GG35)</f>
        <v>0</v>
      </c>
      <c r="AD32" s="356"/>
      <c r="AE32" s="356"/>
      <c r="AF32" s="363"/>
      <c r="AG32" s="363"/>
      <c r="AH32" s="356">
        <f t="shared" si="0"/>
        <v>0</v>
      </c>
      <c r="AI32" s="356"/>
      <c r="AJ32" s="363"/>
      <c r="AK32" s="363"/>
      <c r="AL32" s="363"/>
      <c r="AM32" s="369"/>
      <c r="AN32" s="362"/>
      <c r="AO32" s="363"/>
      <c r="AP32" s="363"/>
      <c r="AQ32" s="363"/>
      <c r="AR32" s="363"/>
      <c r="AS32" s="363"/>
      <c r="AT32" s="356" t="str">
        <f t="shared" si="5"/>
        <v/>
      </c>
      <c r="AU32" s="356"/>
      <c r="AV32" s="401"/>
      <c r="AW32" s="362"/>
      <c r="AX32" s="363"/>
      <c r="AY32" s="363"/>
      <c r="AZ32" s="363"/>
      <c r="BA32" s="363"/>
      <c r="BB32" s="363"/>
      <c r="BC32" s="240"/>
      <c r="BD32" s="146">
        <f t="shared" si="1"/>
        <v>0</v>
      </c>
      <c r="BE32" s="356" t="str">
        <f>IF(AW32="","",HLOOKUP(AW32,AssociatedRef!$AP$1:$BZ$123,LOOKUP($CD$2,AssociatedRef!$AP$2:$AP$123,AssociatedRef!$AQ$2:$AQ$123),FALSE))</f>
        <v/>
      </c>
      <c r="BF32" s="356"/>
      <c r="BG32" s="161" t="s">
        <v>361</v>
      </c>
      <c r="BH32" s="149" t="str">
        <f t="shared" si="2"/>
        <v/>
      </c>
      <c r="BI32" s="362"/>
      <c r="BJ32" s="363"/>
      <c r="BK32" s="363"/>
      <c r="BL32" s="363"/>
      <c r="BM32" s="240"/>
      <c r="BN32" s="240"/>
      <c r="BO32" s="240"/>
      <c r="BP32" s="363"/>
      <c r="BQ32" s="363"/>
      <c r="BR32" s="363"/>
      <c r="BS32" s="363"/>
      <c r="BT32" s="369"/>
      <c r="BU32" s="2" t="s">
        <v>43</v>
      </c>
      <c r="BV32" s="171">
        <f>SUM(DotTracking!$T17:$X17,DotTracking!$AR17:$AV17,DotTracking!$BP17:$BT17,DotTracking!CN17:CR17)</f>
        <v>0</v>
      </c>
      <c r="BW32" s="2" t="s">
        <v>49</v>
      </c>
      <c r="BX32" s="171">
        <f>SUM(DotTracking!$T23:$X23,DotTracking!$AR23:$AV23,DotTracking!$BP23:$BT23,DotTracking!CN23:CR23)</f>
        <v>0</v>
      </c>
      <c r="BY32" s="28">
        <f t="shared" si="4"/>
        <v>0</v>
      </c>
    </row>
    <row r="33" spans="1:77" ht="15.75" thickBot="1" x14ac:dyDescent="0.3">
      <c r="A33" s="393" t="s">
        <v>21</v>
      </c>
      <c r="B33" s="389"/>
      <c r="C33" s="389"/>
      <c r="D33" s="389"/>
      <c r="E33" s="356">
        <f>SUM(DotTracking!E14:O14,DotTracking!AC14:AM14,DotTracking!BA14:BK14,DotTracking!BY14:CI14)</f>
        <v>1</v>
      </c>
      <c r="F33" s="356"/>
      <c r="G33" s="398"/>
      <c r="H33" s="732"/>
      <c r="I33" s="363"/>
      <c r="J33" s="363"/>
      <c r="K33" s="363"/>
      <c r="L33" s="369"/>
      <c r="M33" s="396" t="str">
        <f>Creation!Q22</f>
        <v>Select Pantheon</v>
      </c>
      <c r="N33" s="395"/>
      <c r="O33" s="395"/>
      <c r="P33" s="395"/>
      <c r="Q33" s="434">
        <f>SUM(DotTracking!T7:X7,DotTracking!AR7:AV7,DotTracking!BP7:BT7,DotTracking!CN7:CR7)</f>
        <v>1</v>
      </c>
      <c r="R33" s="434"/>
      <c r="S33" s="366"/>
      <c r="T33" s="372"/>
      <c r="U33" s="657"/>
      <c r="V33" s="657"/>
      <c r="W33" s="657"/>
      <c r="X33" s="657"/>
      <c r="Y33" s="730" t="s">
        <v>536</v>
      </c>
      <c r="Z33" s="731"/>
      <c r="AA33" s="731"/>
      <c r="AB33" s="731"/>
      <c r="AC33" s="356">
        <f>SUM(DotTracking!T38:X38,DotTracking!AR38:AV38,DotTracking!BP38:BT38,DotTracking!CN38:CR38,DotTracking!ES36:EW36,DotTracking!FB36:FF36,DotTracking!FK36:FO36,DotTracking!FT36:FX36,DotTracking!GC36:GG36)</f>
        <v>0</v>
      </c>
      <c r="AD33" s="356"/>
      <c r="AE33" s="356"/>
      <c r="AF33" s="363"/>
      <c r="AG33" s="363"/>
      <c r="AH33" s="434">
        <f t="shared" si="0"/>
        <v>0</v>
      </c>
      <c r="AI33" s="434"/>
      <c r="AJ33" s="366"/>
      <c r="AK33" s="366"/>
      <c r="AL33" s="366"/>
      <c r="AM33" s="372"/>
      <c r="AN33" s="368"/>
      <c r="AO33" s="366"/>
      <c r="AP33" s="366"/>
      <c r="AQ33" s="366"/>
      <c r="AR33" s="366"/>
      <c r="AS33" s="366"/>
      <c r="AT33" s="434" t="str">
        <f t="shared" si="5"/>
        <v/>
      </c>
      <c r="AU33" s="434"/>
      <c r="AV33" s="474"/>
      <c r="AW33" s="362"/>
      <c r="AX33" s="363"/>
      <c r="AY33" s="363"/>
      <c r="AZ33" s="363"/>
      <c r="BA33" s="363"/>
      <c r="BB33" s="363"/>
      <c r="BC33" s="240"/>
      <c r="BD33" s="146">
        <f t="shared" si="1"/>
        <v>0</v>
      </c>
      <c r="BE33" s="356" t="str">
        <f>IF(AW33="","",HLOOKUP(AW33,AssociatedRef!$AP$1:$BZ$123,LOOKUP($CD$2,AssociatedRef!$AP$2:$AP$123,AssociatedRef!$AQ$2:$AQ$123),FALSE))</f>
        <v/>
      </c>
      <c r="BF33" s="356"/>
      <c r="BG33" s="161" t="s">
        <v>361</v>
      </c>
      <c r="BH33" s="149" t="str">
        <f t="shared" si="2"/>
        <v/>
      </c>
      <c r="BI33" s="362"/>
      <c r="BJ33" s="363"/>
      <c r="BK33" s="363"/>
      <c r="BL33" s="363"/>
      <c r="BM33" s="240"/>
      <c r="BN33" s="240"/>
      <c r="BO33" s="240"/>
      <c r="BP33" s="363"/>
      <c r="BQ33" s="363"/>
      <c r="BR33" s="363"/>
      <c r="BS33" s="363"/>
      <c r="BT33" s="369"/>
      <c r="BU33" s="2" t="s">
        <v>44</v>
      </c>
      <c r="BV33" s="171">
        <f>SUM(DotTracking!$T18:$X18,DotTracking!$AR18:$AV18,DotTracking!$BP18:$BT18,DotTracking!CN18:CR18)</f>
        <v>0</v>
      </c>
      <c r="BW33" s="2" t="s">
        <v>50</v>
      </c>
      <c r="BX33" s="171">
        <f>SUM(DotTracking!$T24:$X24,DotTracking!$AR24:$AV24,DotTracking!$BP24:$BT24,DotTracking!CN24:CR24)</f>
        <v>0</v>
      </c>
      <c r="BY33" s="28">
        <f t="shared" si="4"/>
        <v>0</v>
      </c>
    </row>
    <row r="34" spans="1:77" ht="15" customHeight="1" x14ac:dyDescent="0.25">
      <c r="A34" s="393" t="s">
        <v>15</v>
      </c>
      <c r="B34" s="389"/>
      <c r="C34" s="389"/>
      <c r="D34" s="389"/>
      <c r="E34" s="726" t="s">
        <v>59</v>
      </c>
      <c r="F34" s="726"/>
      <c r="G34" s="726"/>
      <c r="H34" s="726"/>
      <c r="I34" s="356"/>
      <c r="J34" s="356"/>
      <c r="K34" s="356"/>
      <c r="L34" s="401"/>
      <c r="M34" s="657"/>
      <c r="N34" s="657"/>
      <c r="O34" s="657"/>
      <c r="P34" s="657"/>
      <c r="Q34" s="657"/>
      <c r="R34" s="657"/>
      <c r="S34" s="657"/>
      <c r="T34" s="658"/>
      <c r="U34" s="656"/>
      <c r="V34" s="657"/>
      <c r="W34" s="657"/>
      <c r="X34" s="657"/>
      <c r="Y34" s="392" t="s">
        <v>63</v>
      </c>
      <c r="Z34" s="391"/>
      <c r="AA34" s="391"/>
      <c r="AB34" s="391"/>
      <c r="AC34" s="391"/>
      <c r="AD34" s="391"/>
      <c r="AE34" s="391"/>
      <c r="AF34" s="526" t="str">
        <f>IF(CD2="Select","",LOOKUP(CD2,PantheonList!A18:A139,PantheonList!I18:I139))</f>
        <v/>
      </c>
      <c r="AG34" s="526"/>
      <c r="AH34" s="526"/>
      <c r="AI34" s="526"/>
      <c r="AJ34" s="526"/>
      <c r="AK34" s="526"/>
      <c r="AL34" s="526"/>
      <c r="AM34" s="526"/>
      <c r="AN34" s="526"/>
      <c r="AO34" s="526"/>
      <c r="AP34" s="526"/>
      <c r="AQ34" s="526"/>
      <c r="AR34" s="526"/>
      <c r="AS34" s="526"/>
      <c r="AT34" s="526"/>
      <c r="AU34" s="526"/>
      <c r="AV34" s="651"/>
      <c r="AW34" s="362"/>
      <c r="AX34" s="363"/>
      <c r="AY34" s="363"/>
      <c r="AZ34" s="363"/>
      <c r="BA34" s="363"/>
      <c r="BB34" s="363"/>
      <c r="BC34" s="240"/>
      <c r="BD34" s="146">
        <f t="shared" si="1"/>
        <v>0</v>
      </c>
      <c r="BE34" s="356" t="str">
        <f>IF(AW34="","",HLOOKUP(AW34,AssociatedRef!$AP$1:$BZ$123,LOOKUP($CD$2,AssociatedRef!$AP$2:$AP$123,AssociatedRef!$AQ$2:$AQ$123),FALSE))</f>
        <v/>
      </c>
      <c r="BF34" s="356"/>
      <c r="BG34" s="161" t="s">
        <v>361</v>
      </c>
      <c r="BH34" s="149" t="str">
        <f t="shared" si="2"/>
        <v/>
      </c>
      <c r="BI34" s="362"/>
      <c r="BJ34" s="363"/>
      <c r="BK34" s="363"/>
      <c r="BL34" s="363"/>
      <c r="BM34" s="240"/>
      <c r="BN34" s="240"/>
      <c r="BO34" s="240"/>
      <c r="BP34" s="363"/>
      <c r="BQ34" s="363"/>
      <c r="BR34" s="363"/>
      <c r="BS34" s="363"/>
      <c r="BT34" s="369"/>
      <c r="BU34" s="2" t="s">
        <v>45</v>
      </c>
      <c r="BV34" s="171">
        <f>SUM(DotTracking!$T19:$X19,DotTracking!$AR19:$AV19,DotTracking!$BP19:$BT19,DotTracking!CN19:CR19)</f>
        <v>0</v>
      </c>
      <c r="BW34" s="2" t="s">
        <v>51</v>
      </c>
      <c r="BX34" s="171">
        <f>SUM(DotTracking!$T25:$X25,DotTracking!$AR25:$AV25,DotTracking!$BP25:$BT25,DotTracking!CN25:CR25)</f>
        <v>0</v>
      </c>
      <c r="BY34" s="28">
        <f t="shared" si="4"/>
        <v>0</v>
      </c>
    </row>
    <row r="35" spans="1:77" ht="15.75" thickBot="1" x14ac:dyDescent="0.3">
      <c r="A35" s="396" t="s">
        <v>32</v>
      </c>
      <c r="B35" s="395"/>
      <c r="C35" s="395"/>
      <c r="D35" s="395"/>
      <c r="E35" s="356" t="str">
        <f>IF(E34="primary",4-SUM(G31:H33),IF(E34="Secondary",3-SUM(G31:H33),IF(E34="Tertiary",2-SUM(G31:H33),"Select Priority")))</f>
        <v>Select Priority</v>
      </c>
      <c r="F35" s="356"/>
      <c r="G35" s="356"/>
      <c r="H35" s="356"/>
      <c r="I35" s="434"/>
      <c r="J35" s="434"/>
      <c r="K35" s="434"/>
      <c r="L35" s="474"/>
      <c r="M35" s="657"/>
      <c r="N35" s="657"/>
      <c r="O35" s="657"/>
      <c r="P35" s="657"/>
      <c r="Q35" s="657"/>
      <c r="R35" s="657"/>
      <c r="S35" s="657"/>
      <c r="T35" s="658"/>
      <c r="U35" s="656"/>
      <c r="V35" s="657"/>
      <c r="W35" s="657"/>
      <c r="X35" s="657"/>
      <c r="Y35" s="393"/>
      <c r="Z35" s="389"/>
      <c r="AA35" s="389"/>
      <c r="AB35" s="389"/>
      <c r="AC35" s="389"/>
      <c r="AD35" s="389"/>
      <c r="AE35" s="389"/>
      <c r="AF35" s="535"/>
      <c r="AG35" s="535"/>
      <c r="AH35" s="535"/>
      <c r="AI35" s="535"/>
      <c r="AJ35" s="535"/>
      <c r="AK35" s="535"/>
      <c r="AL35" s="535"/>
      <c r="AM35" s="535"/>
      <c r="AN35" s="535"/>
      <c r="AO35" s="535"/>
      <c r="AP35" s="535"/>
      <c r="AQ35" s="535"/>
      <c r="AR35" s="535"/>
      <c r="AS35" s="535"/>
      <c r="AT35" s="535"/>
      <c r="AU35" s="535"/>
      <c r="AV35" s="652"/>
      <c r="AW35" s="362"/>
      <c r="AX35" s="363"/>
      <c r="AY35" s="363"/>
      <c r="AZ35" s="363"/>
      <c r="BA35" s="363"/>
      <c r="BB35" s="363"/>
      <c r="BC35" s="240"/>
      <c r="BD35" s="146">
        <f t="shared" si="1"/>
        <v>0</v>
      </c>
      <c r="BE35" s="356" t="str">
        <f>IF(AW35="","",HLOOKUP(AW35,AssociatedRef!$AP$1:$BZ$123,LOOKUP($CD$2,AssociatedRef!$AP$2:$AP$123,AssociatedRef!$AQ$2:$AQ$123),FALSE))</f>
        <v/>
      </c>
      <c r="BF35" s="356"/>
      <c r="BG35" s="161" t="s">
        <v>361</v>
      </c>
      <c r="BH35" s="149" t="str">
        <f t="shared" si="2"/>
        <v/>
      </c>
      <c r="BI35" s="362"/>
      <c r="BJ35" s="363"/>
      <c r="BK35" s="363"/>
      <c r="BL35" s="363"/>
      <c r="BM35" s="240"/>
      <c r="BN35" s="240"/>
      <c r="BO35" s="240"/>
      <c r="BP35" s="363"/>
      <c r="BQ35" s="363"/>
      <c r="BR35" s="363"/>
      <c r="BS35" s="363"/>
      <c r="BT35" s="369"/>
      <c r="BU35" s="2" t="s">
        <v>46</v>
      </c>
      <c r="BV35" s="171">
        <f>SUM(DotTracking!$T20:$X20,DotTracking!$AR20:$AV20,DotTracking!$BP20:$BT20,DotTracking!CN20:CR20)</f>
        <v>0</v>
      </c>
      <c r="BW35" s="2" t="s">
        <v>58</v>
      </c>
      <c r="BX35" s="171">
        <f>SUM(IF(DotTracking!P29="Science",DotTracking!T29:X29,0),IF(DotTracking!AN29="Science",DotTracking!AR29:AV29,0),IF(DotTracking!BL29="Science",DotTracking!BP29:BT29,0),IF(DotTracking!P30="Science",DotTracking!T30:X30,0),IF(DotTracking!AN30="Science",DotTracking!AR30:AV30,0),IF(DotTracking!BL30="Science",DotTracking!BP30:BT30,0),IF(DotTracking!P32="Science",DotTracking!T32:X32,0),IF(DotTracking!AN32="Science",DotTracking!AR32:AV32,0),IF(DotTracking!BL32="Science",DotTracking!BP32:BT32,0),IF(DotTracking!P31="Science",DotTracking!T31:X31,0),IF(DotTracking!AN31="Science",DotTracking!AR31:AV31,0),IF(DotTracking!BL31="Science",DotTracking!BP31:BT31,0),IF(DotTracking!P33="Science",DotTracking!T33:X33,0),IF(DotTracking!AN33="Science",DotTracking!AR33:AV33,0),IF(DotTracking!BL33="Science",DotTracking!BP33:BT33,0),IF(DotTracking!P34="Science",DotTracking!T34:X34,0),IF(DotTracking!AN34="Science",DotTracking!AR34:AV34,0),IF(DotTracking!BL34="Science",DotTracking!BP34:BT34,0),IF(DotTracking!P35="Science",DotTracking!T35:X35,0),IF(DotTracking!AN35="Science",DotTracking!AR35:AV35,0),IF(DotTracking!BL35="Science",DotTracking!BP35:BT35,0),IF(DotTracking!P36="Science",DotTracking!T36:X36,0),IF(DotTracking!AN36="Science",DotTracking!AR36:AV36,0),IF(DotTracking!BL36="Science",DotTracking!BP36:BT36,0),IF(DotTracking!P37="Science",DotTracking!T37:X37,0),IF(DotTracking!AN37="Science",DotTracking!AR37:AV37,0),IF(DotTracking!BL37="Science",DotTracking!BP37:BT37,0),IF(DotTracking!P38="Science",DotTracking!T38:X38,0),IF(DotTracking!AN38="Science",DotTracking!AR38:AV38,0),IF(DotTracking!BL38="Science",DotTracking!BP38:BT38,0),IF(DotTracking!CJ29="Science",DotTracking!CN29:CR29,0),IF(DotTracking!CJ30="Science",DotTracking!CN30:CR30,0),IF(DotTracking!CJ31="Science",DotTracking!CN31:CR31,0),IF(DotTracking!CJ32="Science",DotTracking!CN32:CR32,0),IF(DotTracking!CJ33="Science",DotTracking!CN33:CR33,0),IF(DotTracking!CJ34="Science",DotTracking!CN34:CR34,0),IF(DotTracking!CJ35="Science",DotTracking!CN35:CR35,0),IF(DotTracking!CJ36="Science",DotTracking!CN36:CR36,0),IF(DotTracking!CJ37="Science",DotTracking!CN37:CR37,0),IF(DotTracking!CJ38="Science",DotTracking!CN38:CR38,0),0)</f>
        <v>0</v>
      </c>
      <c r="BY35" s="28">
        <f t="shared" si="4"/>
        <v>0</v>
      </c>
    </row>
    <row r="36" spans="1:77" ht="15" customHeight="1" x14ac:dyDescent="0.25">
      <c r="A36" s="373" t="s">
        <v>80</v>
      </c>
      <c r="B36" s="374"/>
      <c r="C36" s="374"/>
      <c r="D36" s="374"/>
      <c r="E36" s="374"/>
      <c r="F36" s="374"/>
      <c r="G36" s="374"/>
      <c r="H36" s="374"/>
      <c r="I36" s="374"/>
      <c r="J36" s="374"/>
      <c r="K36" s="374"/>
      <c r="L36" s="374"/>
      <c r="M36" s="374"/>
      <c r="N36" s="374"/>
      <c r="O36" s="374"/>
      <c r="P36" s="374"/>
      <c r="Q36" s="374"/>
      <c r="R36" s="374"/>
      <c r="S36" s="374"/>
      <c r="T36" s="374"/>
      <c r="U36" s="374"/>
      <c r="V36" s="374"/>
      <c r="W36" s="374"/>
      <c r="X36" s="375"/>
      <c r="Y36" s="393" t="s">
        <v>64</v>
      </c>
      <c r="Z36" s="389"/>
      <c r="AA36" s="389"/>
      <c r="AB36" s="389"/>
      <c r="AC36" s="389"/>
      <c r="AD36" s="389"/>
      <c r="AE36" s="389"/>
      <c r="AF36" s="535" t="str">
        <f>IF(CD2="Select","",LOOKUP(CD2,PantheonList!A18:A135,PantheonList!H18:H135))</f>
        <v/>
      </c>
      <c r="AG36" s="535"/>
      <c r="AH36" s="535"/>
      <c r="AI36" s="535"/>
      <c r="AJ36" s="535"/>
      <c r="AK36" s="535"/>
      <c r="AL36" s="535"/>
      <c r="AM36" s="535"/>
      <c r="AN36" s="535"/>
      <c r="AO36" s="535"/>
      <c r="AP36" s="535"/>
      <c r="AQ36" s="535"/>
      <c r="AR36" s="535"/>
      <c r="AS36" s="535"/>
      <c r="AT36" s="535"/>
      <c r="AU36" s="535"/>
      <c r="AV36" s="652"/>
      <c r="AW36" s="362"/>
      <c r="AX36" s="363"/>
      <c r="AY36" s="363"/>
      <c r="AZ36" s="363"/>
      <c r="BA36" s="363"/>
      <c r="BB36" s="363"/>
      <c r="BC36" s="240"/>
      <c r="BD36" s="146">
        <f t="shared" si="1"/>
        <v>0</v>
      </c>
      <c r="BE36" s="356" t="str">
        <f>IF(AW36="","",HLOOKUP(AW36,AssociatedRef!$AP$1:$BZ$123,LOOKUP($CD$2,AssociatedRef!$AP$2:$AP$123,AssociatedRef!$AQ$2:$AQ$123),FALSE))</f>
        <v/>
      </c>
      <c r="BF36" s="356"/>
      <c r="BG36" s="161" t="s">
        <v>361</v>
      </c>
      <c r="BH36" s="149" t="str">
        <f t="shared" si="2"/>
        <v/>
      </c>
      <c r="BI36" s="362"/>
      <c r="BJ36" s="363"/>
      <c r="BK36" s="363"/>
      <c r="BL36" s="363"/>
      <c r="BM36" s="240"/>
      <c r="BN36" s="240"/>
      <c r="BO36" s="240"/>
      <c r="BP36" s="363"/>
      <c r="BQ36" s="363"/>
      <c r="BR36" s="363"/>
      <c r="BS36" s="363"/>
      <c r="BT36" s="369"/>
      <c r="BU36" s="2" t="s">
        <v>47</v>
      </c>
      <c r="BV36" s="171">
        <f>SUM(DotTracking!$T21:$X21,DotTracking!$AR21:$AV21,DotTracking!$BP21:$BT21,DotTracking!CN21:CR21)</f>
        <v>0</v>
      </c>
      <c r="BW36" s="2" t="s">
        <v>52</v>
      </c>
      <c r="BX36" s="171">
        <f>SUM(DotTracking!$T26:$X26,DotTracking!$AR26:$AV26,DotTracking!$BP26:$BT26,DotTracking!CN26:CR26)</f>
        <v>0</v>
      </c>
      <c r="BY36" s="28">
        <f t="shared" si="4"/>
        <v>0</v>
      </c>
    </row>
    <row r="37" spans="1:77" ht="15.75" customHeight="1" thickBot="1" x14ac:dyDescent="0.3">
      <c r="A37" s="376"/>
      <c r="B37" s="377"/>
      <c r="C37" s="377"/>
      <c r="D37" s="377"/>
      <c r="E37" s="377"/>
      <c r="F37" s="377"/>
      <c r="G37" s="377"/>
      <c r="H37" s="377"/>
      <c r="I37" s="377"/>
      <c r="J37" s="377"/>
      <c r="K37" s="377"/>
      <c r="L37" s="377"/>
      <c r="M37" s="377"/>
      <c r="N37" s="377"/>
      <c r="O37" s="377"/>
      <c r="P37" s="377"/>
      <c r="Q37" s="377"/>
      <c r="R37" s="377"/>
      <c r="S37" s="377"/>
      <c r="T37" s="377"/>
      <c r="U37" s="377"/>
      <c r="V37" s="377"/>
      <c r="W37" s="377"/>
      <c r="X37" s="418"/>
      <c r="Y37" s="393"/>
      <c r="Z37" s="389"/>
      <c r="AA37" s="389"/>
      <c r="AB37" s="389"/>
      <c r="AC37" s="389"/>
      <c r="AD37" s="389"/>
      <c r="AE37" s="389"/>
      <c r="AF37" s="535"/>
      <c r="AG37" s="535"/>
      <c r="AH37" s="535"/>
      <c r="AI37" s="535"/>
      <c r="AJ37" s="535"/>
      <c r="AK37" s="535"/>
      <c r="AL37" s="535"/>
      <c r="AM37" s="535"/>
      <c r="AN37" s="535"/>
      <c r="AO37" s="535"/>
      <c r="AP37" s="535"/>
      <c r="AQ37" s="535"/>
      <c r="AR37" s="535"/>
      <c r="AS37" s="535"/>
      <c r="AT37" s="535"/>
      <c r="AU37" s="535"/>
      <c r="AV37" s="652"/>
      <c r="AW37" s="362"/>
      <c r="AX37" s="363"/>
      <c r="AY37" s="363"/>
      <c r="AZ37" s="363"/>
      <c r="BA37" s="363"/>
      <c r="BB37" s="363"/>
      <c r="BC37" s="240"/>
      <c r="BD37" s="146">
        <f t="shared" si="1"/>
        <v>0</v>
      </c>
      <c r="BE37" s="356" t="str">
        <f>IF(AW37="","",HLOOKUP(AW37,AssociatedRef!$AP$1:$BZ$123,LOOKUP($CD$2,AssociatedRef!$AP$2:$AP$123,AssociatedRef!$AQ$2:$AQ$123),FALSE))</f>
        <v/>
      </c>
      <c r="BF37" s="356"/>
      <c r="BG37" s="161" t="s">
        <v>361</v>
      </c>
      <c r="BH37" s="149" t="str">
        <f t="shared" si="2"/>
        <v/>
      </c>
      <c r="BI37" s="362"/>
      <c r="BJ37" s="363"/>
      <c r="BK37" s="363"/>
      <c r="BL37" s="363"/>
      <c r="BM37" s="240"/>
      <c r="BN37" s="240"/>
      <c r="BO37" s="240"/>
      <c r="BP37" s="363"/>
      <c r="BQ37" s="363"/>
      <c r="BR37" s="363"/>
      <c r="BS37" s="363"/>
      <c r="BT37" s="369"/>
      <c r="BU37" s="2" t="s">
        <v>49</v>
      </c>
      <c r="BV37" s="171">
        <f>SUM(DotTracking!$T23:$X23,DotTracking!$AR23:$AV23,DotTracking!$BP23:$BT23,DotTracking!CN23:CR23)</f>
        <v>0</v>
      </c>
      <c r="BW37" s="2" t="s">
        <v>53</v>
      </c>
      <c r="BX37" s="171">
        <f>SUM(DotTracking!$T27:$X27,DotTracking!$AR27:$AV27,DotTracking!$BP27:$BT27,DotTracking!CN27:CR27)</f>
        <v>0</v>
      </c>
      <c r="BY37" s="28">
        <f t="shared" si="4"/>
        <v>0</v>
      </c>
    </row>
    <row r="38" spans="1:77" ht="15.75" thickBot="1" x14ac:dyDescent="0.3">
      <c r="A38" s="680"/>
      <c r="B38" s="417"/>
      <c r="C38" s="417"/>
      <c r="D38" s="417"/>
      <c r="E38" s="391" t="s">
        <v>81</v>
      </c>
      <c r="F38" s="391"/>
      <c r="G38" s="391"/>
      <c r="H38" s="391"/>
      <c r="I38" s="391" t="s">
        <v>82</v>
      </c>
      <c r="J38" s="391"/>
      <c r="K38" s="391"/>
      <c r="L38" s="391"/>
      <c r="M38" s="391"/>
      <c r="N38" s="391"/>
      <c r="O38" s="391"/>
      <c r="P38" s="391"/>
      <c r="Q38" s="391" t="s">
        <v>81</v>
      </c>
      <c r="R38" s="391"/>
      <c r="S38" s="391"/>
      <c r="T38" s="391"/>
      <c r="U38" s="391" t="s">
        <v>82</v>
      </c>
      <c r="V38" s="391"/>
      <c r="W38" s="391"/>
      <c r="X38" s="409"/>
      <c r="Y38" s="396" t="s">
        <v>136</v>
      </c>
      <c r="Z38" s="395"/>
      <c r="AA38" s="395"/>
      <c r="AB38" s="395"/>
      <c r="AC38" s="395"/>
      <c r="AD38" s="395"/>
      <c r="AE38" s="395"/>
      <c r="AF38" s="434" t="str">
        <f>IF(CD1="Select","",LOOKUP(CD1,PantheonList!A3:A15,PantheonList!B3:B15))</f>
        <v/>
      </c>
      <c r="AG38" s="434"/>
      <c r="AH38" s="434"/>
      <c r="AI38" s="434"/>
      <c r="AJ38" s="434"/>
      <c r="AK38" s="434"/>
      <c r="AL38" s="434"/>
      <c r="AM38" s="434"/>
      <c r="AN38" s="434"/>
      <c r="AO38" s="434"/>
      <c r="AP38" s="434"/>
      <c r="AQ38" s="434"/>
      <c r="AR38" s="434"/>
      <c r="AS38" s="434"/>
      <c r="AT38" s="434"/>
      <c r="AU38" s="434"/>
      <c r="AV38" s="474"/>
      <c r="AW38" s="362"/>
      <c r="AX38" s="363"/>
      <c r="AY38" s="363"/>
      <c r="AZ38" s="363"/>
      <c r="BA38" s="363"/>
      <c r="BB38" s="363"/>
      <c r="BC38" s="240"/>
      <c r="BD38" s="146">
        <f t="shared" si="1"/>
        <v>0</v>
      </c>
      <c r="BE38" s="356" t="str">
        <f>IF(AW38="","",HLOOKUP(AW38,AssociatedRef!$AP$1:$BZ$123,LOOKUP($CD$2,AssociatedRef!$AP$2:$AP$123,AssociatedRef!$AQ$2:$AQ$123),FALSE))</f>
        <v/>
      </c>
      <c r="BF38" s="356"/>
      <c r="BG38" s="161" t="s">
        <v>361</v>
      </c>
      <c r="BH38" s="149" t="str">
        <f t="shared" si="2"/>
        <v/>
      </c>
      <c r="BI38" s="362"/>
      <c r="BJ38" s="363"/>
      <c r="BK38" s="363"/>
      <c r="BL38" s="363"/>
      <c r="BM38" s="240"/>
      <c r="BN38" s="240"/>
      <c r="BO38" s="240"/>
      <c r="BP38" s="363"/>
      <c r="BQ38" s="363"/>
      <c r="BR38" s="363"/>
      <c r="BS38" s="363"/>
      <c r="BT38" s="369"/>
      <c r="BU38" s="171"/>
      <c r="BV38" s="171"/>
      <c r="BW38" s="2" t="s">
        <v>54</v>
      </c>
      <c r="BX38" s="171">
        <f>SUM(DotTracking!$T28:$X28,DotTracking!$AR28:$AV28,DotTracking!$BP28:$BT28,DotTracking!CN28:CR28)</f>
        <v>0</v>
      </c>
      <c r="BY38" s="28">
        <f t="shared" si="4"/>
        <v>0</v>
      </c>
    </row>
    <row r="39" spans="1:77" x14ac:dyDescent="0.25">
      <c r="A39" s="393" t="s">
        <v>8</v>
      </c>
      <c r="B39" s="389"/>
      <c r="C39" s="389"/>
      <c r="D39" s="389"/>
      <c r="E39" s="356">
        <f>SUM(I19:L33)</f>
        <v>0</v>
      </c>
      <c r="F39" s="356"/>
      <c r="G39" s="356"/>
      <c r="H39" s="356"/>
      <c r="I39" s="356">
        <f>E39*4</f>
        <v>0</v>
      </c>
      <c r="J39" s="356"/>
      <c r="K39" s="356"/>
      <c r="L39" s="356"/>
      <c r="M39" s="389" t="s">
        <v>67</v>
      </c>
      <c r="N39" s="389"/>
      <c r="O39" s="389"/>
      <c r="P39" s="389"/>
      <c r="Q39" s="356">
        <f>SUM(BQ4:BR12)</f>
        <v>0</v>
      </c>
      <c r="R39" s="356"/>
      <c r="S39" s="356"/>
      <c r="T39" s="356"/>
      <c r="U39" s="356">
        <f>SUM(BS4:BT12)</f>
        <v>0</v>
      </c>
      <c r="V39" s="356"/>
      <c r="W39" s="356"/>
      <c r="X39" s="401"/>
      <c r="Y39" s="657"/>
      <c r="Z39" s="657"/>
      <c r="AA39" s="657"/>
      <c r="AB39" s="657"/>
      <c r="AC39" s="657"/>
      <c r="AD39" s="657"/>
      <c r="AE39" s="657"/>
      <c r="AF39" s="657"/>
      <c r="AG39" s="657"/>
      <c r="AH39" s="657"/>
      <c r="AI39" s="657"/>
      <c r="AJ39" s="657"/>
      <c r="AK39" s="657"/>
      <c r="AL39" s="657"/>
      <c r="AM39" s="657"/>
      <c r="AN39" s="657"/>
      <c r="AO39" s="657"/>
      <c r="AP39" s="657"/>
      <c r="AQ39" s="657"/>
      <c r="AR39" s="657"/>
      <c r="AS39" s="657"/>
      <c r="AT39" s="657"/>
      <c r="AU39" s="657"/>
      <c r="AV39" s="657"/>
      <c r="AW39" s="362"/>
      <c r="AX39" s="363"/>
      <c r="AY39" s="363"/>
      <c r="AZ39" s="363"/>
      <c r="BA39" s="363"/>
      <c r="BB39" s="363"/>
      <c r="BC39" s="240"/>
      <c r="BD39" s="146">
        <f t="shared" si="1"/>
        <v>0</v>
      </c>
      <c r="BE39" s="356" t="str">
        <f>IF(AW39="","",HLOOKUP(AW39,AssociatedRef!$AP$1:$BZ$123,LOOKUP($CD$2,AssociatedRef!$AP$2:$AP$123,AssociatedRef!$AQ$2:$AQ$123),FALSE))</f>
        <v/>
      </c>
      <c r="BF39" s="356"/>
      <c r="BG39" s="161" t="s">
        <v>361</v>
      </c>
      <c r="BH39" s="149" t="str">
        <f t="shared" si="2"/>
        <v/>
      </c>
      <c r="BI39" s="362"/>
      <c r="BJ39" s="363"/>
      <c r="BK39" s="363"/>
      <c r="BL39" s="363"/>
      <c r="BM39" s="240"/>
      <c r="BN39" s="240"/>
      <c r="BO39" s="240"/>
      <c r="BP39" s="363"/>
      <c r="BQ39" s="363"/>
      <c r="BR39" s="363"/>
      <c r="BS39" s="363"/>
      <c r="BT39" s="369"/>
      <c r="BY39" s="28">
        <f t="shared" si="4"/>
        <v>0</v>
      </c>
    </row>
    <row r="40" spans="1:77" ht="15" customHeight="1" x14ac:dyDescent="0.25">
      <c r="A40" s="393" t="s">
        <v>69</v>
      </c>
      <c r="B40" s="389"/>
      <c r="C40" s="389"/>
      <c r="D40" s="389"/>
      <c r="E40" s="356">
        <f>SUM(AF4:AG33)</f>
        <v>0</v>
      </c>
      <c r="F40" s="356"/>
      <c r="G40" s="356"/>
      <c r="H40" s="356"/>
      <c r="I40" s="356">
        <f>SUM(AH4:AI33)</f>
        <v>0</v>
      </c>
      <c r="J40" s="356"/>
      <c r="K40" s="356"/>
      <c r="L40" s="356"/>
      <c r="M40" s="389" t="s">
        <v>453</v>
      </c>
      <c r="N40" s="389"/>
      <c r="O40" s="389"/>
      <c r="P40" s="389"/>
      <c r="Q40" s="356">
        <f>U40/3</f>
        <v>0</v>
      </c>
      <c r="R40" s="356"/>
      <c r="S40" s="356"/>
      <c r="T40" s="356"/>
      <c r="U40" s="356">
        <f>SUM(AT6:AV33)</f>
        <v>0</v>
      </c>
      <c r="V40" s="356"/>
      <c r="W40" s="356"/>
      <c r="X40" s="401"/>
      <c r="Y40" s="657"/>
      <c r="Z40" s="657"/>
      <c r="AA40" s="657"/>
      <c r="AB40" s="657"/>
      <c r="AC40" s="657"/>
      <c r="AD40" s="657"/>
      <c r="AE40" s="657"/>
      <c r="AF40" s="657"/>
      <c r="AG40" s="657"/>
      <c r="AH40" s="657"/>
      <c r="AI40" s="657"/>
      <c r="AJ40" s="657"/>
      <c r="AK40" s="657"/>
      <c r="AL40" s="657"/>
      <c r="AM40" s="657"/>
      <c r="AN40" s="657"/>
      <c r="AO40" s="657"/>
      <c r="AP40" s="657"/>
      <c r="AQ40" s="657"/>
      <c r="AR40" s="657"/>
      <c r="AS40" s="657"/>
      <c r="AT40" s="657"/>
      <c r="AU40" s="657"/>
      <c r="AV40" s="657"/>
      <c r="AW40" s="362"/>
      <c r="AX40" s="363"/>
      <c r="AY40" s="363"/>
      <c r="AZ40" s="363"/>
      <c r="BA40" s="363"/>
      <c r="BB40" s="363"/>
      <c r="BC40" s="240"/>
      <c r="BD40" s="146">
        <f t="shared" si="1"/>
        <v>0</v>
      </c>
      <c r="BE40" s="356" t="str">
        <f>IF(AW40="","",HLOOKUP(AW40,AssociatedRef!$AP$1:$BZ$123,LOOKUP($CD$2,AssociatedRef!$AP$2:$AP$123,AssociatedRef!$AQ$2:$AQ$123),FALSE))</f>
        <v/>
      </c>
      <c r="BF40" s="356"/>
      <c r="BG40" s="161" t="s">
        <v>361</v>
      </c>
      <c r="BH40" s="149" t="str">
        <f t="shared" si="2"/>
        <v/>
      </c>
      <c r="BI40" s="393" t="s">
        <v>28</v>
      </c>
      <c r="BJ40" s="389"/>
      <c r="BK40" s="389"/>
      <c r="BL40" s="389"/>
      <c r="BM40" s="22">
        <f>SUM(BM21:BM28,BM32:BM39)</f>
        <v>0</v>
      </c>
      <c r="BN40" s="734" t="s">
        <v>78</v>
      </c>
      <c r="BO40" s="734" t="s">
        <v>79</v>
      </c>
      <c r="BP40" s="535" t="s">
        <v>511</v>
      </c>
      <c r="BQ40" s="535"/>
      <c r="BR40" s="535"/>
      <c r="BS40" s="535"/>
      <c r="BT40" s="652"/>
      <c r="BY40" s="28">
        <f t="shared" si="4"/>
        <v>0</v>
      </c>
    </row>
    <row r="41" spans="1:77" x14ac:dyDescent="0.25">
      <c r="A41" s="393" t="s">
        <v>31</v>
      </c>
      <c r="B41" s="389"/>
      <c r="C41" s="389"/>
      <c r="D41" s="389"/>
      <c r="E41" s="356">
        <f>SUM(S30:T33)</f>
        <v>0</v>
      </c>
      <c r="F41" s="356"/>
      <c r="G41" s="356"/>
      <c r="H41" s="356"/>
      <c r="I41" s="356">
        <f>E41*3</f>
        <v>0</v>
      </c>
      <c r="J41" s="356"/>
      <c r="K41" s="356"/>
      <c r="L41" s="356"/>
      <c r="M41" s="389" t="s">
        <v>85</v>
      </c>
      <c r="N41" s="389"/>
      <c r="O41" s="389"/>
      <c r="P41" s="389"/>
      <c r="Q41" s="356">
        <f>SUM(BN21:BO28,BN32:BO39)</f>
        <v>0</v>
      </c>
      <c r="R41" s="356"/>
      <c r="S41" s="356"/>
      <c r="T41" s="356"/>
      <c r="U41" s="356">
        <f>SUM(BN21:BN28,BN32:BN39)+SUM(BO21:BO28,BO32:BO39)*2</f>
        <v>0</v>
      </c>
      <c r="V41" s="356"/>
      <c r="W41" s="356"/>
      <c r="X41" s="401"/>
      <c r="Y41" s="657"/>
      <c r="Z41" s="657"/>
      <c r="AA41" s="657"/>
      <c r="AB41" s="657"/>
      <c r="AC41" s="657"/>
      <c r="AD41" s="657"/>
      <c r="AE41" s="657"/>
      <c r="AF41" s="657"/>
      <c r="AG41" s="657"/>
      <c r="AH41" s="657"/>
      <c r="AI41" s="657"/>
      <c r="AJ41" s="657"/>
      <c r="AK41" s="657"/>
      <c r="AL41" s="657"/>
      <c r="AM41" s="657"/>
      <c r="AN41" s="657"/>
      <c r="AO41" s="657"/>
      <c r="AP41" s="657"/>
      <c r="AQ41" s="657"/>
      <c r="AR41" s="657"/>
      <c r="AS41" s="657"/>
      <c r="AT41" s="657"/>
      <c r="AU41" s="657"/>
      <c r="AV41" s="657"/>
      <c r="AW41" s="362"/>
      <c r="AX41" s="363"/>
      <c r="AY41" s="363"/>
      <c r="AZ41" s="363"/>
      <c r="BA41" s="363"/>
      <c r="BB41" s="363"/>
      <c r="BC41" s="240"/>
      <c r="BD41" s="146">
        <f t="shared" si="1"/>
        <v>0</v>
      </c>
      <c r="BE41" s="356" t="str">
        <f>IF(AW41="","",HLOOKUP(AW41,AssociatedRef!$AP$1:$BZ$123,LOOKUP($CD$2,AssociatedRef!$AP$2:$AP$123,AssociatedRef!$AQ$2:$AQ$123),FALSE))</f>
        <v/>
      </c>
      <c r="BF41" s="356"/>
      <c r="BG41" s="161" t="s">
        <v>361</v>
      </c>
      <c r="BH41" s="149" t="str">
        <f t="shared" si="2"/>
        <v/>
      </c>
      <c r="BI41" s="393" t="s">
        <v>32</v>
      </c>
      <c r="BJ41" s="389"/>
      <c r="BK41" s="389"/>
      <c r="BL41" s="389"/>
      <c r="BM41" s="22">
        <f>5-BM40</f>
        <v>5</v>
      </c>
      <c r="BN41" s="734"/>
      <c r="BO41" s="734"/>
      <c r="BP41" s="535"/>
      <c r="BQ41" s="535"/>
      <c r="BR41" s="535"/>
      <c r="BS41" s="535"/>
      <c r="BT41" s="652"/>
      <c r="BY41" s="28">
        <f t="shared" si="4"/>
        <v>0</v>
      </c>
    </row>
    <row r="42" spans="1:77" x14ac:dyDescent="0.25">
      <c r="A42" s="393" t="s">
        <v>83</v>
      </c>
      <c r="B42" s="389"/>
      <c r="C42" s="389"/>
      <c r="D42" s="389"/>
      <c r="E42" s="356">
        <f>W30</f>
        <v>0</v>
      </c>
      <c r="F42" s="356"/>
      <c r="G42" s="356"/>
      <c r="H42" s="356"/>
      <c r="I42" s="356">
        <f>E42*2</f>
        <v>0</v>
      </c>
      <c r="J42" s="356"/>
      <c r="K42" s="356"/>
      <c r="L42" s="356"/>
      <c r="M42" s="389" t="s">
        <v>68</v>
      </c>
      <c r="N42" s="389"/>
      <c r="O42" s="389"/>
      <c r="P42" s="389"/>
      <c r="Q42" s="356">
        <f>SUM(BY4:BY46)</f>
        <v>0</v>
      </c>
      <c r="R42" s="356"/>
      <c r="S42" s="356"/>
      <c r="T42" s="356"/>
      <c r="U42" s="356">
        <f>SUM(BH4:BH46)</f>
        <v>0</v>
      </c>
      <c r="V42" s="356"/>
      <c r="W42" s="356"/>
      <c r="X42" s="401"/>
      <c r="Y42" s="657"/>
      <c r="Z42" s="657"/>
      <c r="AA42" s="657"/>
      <c r="AB42" s="657"/>
      <c r="AC42" s="657"/>
      <c r="AD42" s="657"/>
      <c r="AE42" s="657"/>
      <c r="AF42" s="657"/>
      <c r="AG42" s="657"/>
      <c r="AH42" s="657"/>
      <c r="AI42" s="657"/>
      <c r="AJ42" s="657"/>
      <c r="AK42" s="657"/>
      <c r="AL42" s="657"/>
      <c r="AM42" s="657"/>
      <c r="AN42" s="657"/>
      <c r="AO42" s="657"/>
      <c r="AP42" s="657"/>
      <c r="AQ42" s="657"/>
      <c r="AR42" s="657"/>
      <c r="AS42" s="657"/>
      <c r="AT42" s="657"/>
      <c r="AU42" s="657"/>
      <c r="AV42" s="657"/>
      <c r="AW42" s="362"/>
      <c r="AX42" s="363"/>
      <c r="AY42" s="363"/>
      <c r="AZ42" s="363"/>
      <c r="BA42" s="363"/>
      <c r="BB42" s="363"/>
      <c r="BC42" s="240"/>
      <c r="BD42" s="146">
        <f t="shared" si="1"/>
        <v>0</v>
      </c>
      <c r="BE42" s="356" t="str">
        <f>IF(AW42="","",HLOOKUP(AW42,AssociatedRef!$AP$1:$BZ$123,LOOKUP($CD$2,AssociatedRef!$AP$2:$AP$123,AssociatedRef!$AQ$2:$AQ$123),FALSE))</f>
        <v/>
      </c>
      <c r="BF42" s="356"/>
      <c r="BG42" s="161" t="s">
        <v>361</v>
      </c>
      <c r="BH42" s="149" t="str">
        <f t="shared" si="2"/>
        <v/>
      </c>
      <c r="BI42" s="393" t="s">
        <v>29</v>
      </c>
      <c r="BJ42" s="389"/>
      <c r="BK42" s="389"/>
      <c r="BL42" s="389"/>
      <c r="BM42" s="22" t="str">
        <f>IF(AND(BM41=0,MAX(BM21:BM28,BM32:BM39)&lt;4),"Yes","No")</f>
        <v>No</v>
      </c>
      <c r="BN42" s="734"/>
      <c r="BO42" s="734"/>
      <c r="BP42" s="535"/>
      <c r="BQ42" s="535"/>
      <c r="BR42" s="535"/>
      <c r="BS42" s="535"/>
      <c r="BT42" s="652"/>
      <c r="BY42" s="28">
        <f t="shared" si="4"/>
        <v>0</v>
      </c>
    </row>
    <row r="43" spans="1:77" x14ac:dyDescent="0.25">
      <c r="A43" s="677"/>
      <c r="B43" s="356"/>
      <c r="C43" s="356"/>
      <c r="D43" s="356"/>
      <c r="E43" s="356"/>
      <c r="F43" s="356"/>
      <c r="G43" s="356"/>
      <c r="H43" s="356"/>
      <c r="I43" s="356"/>
      <c r="J43" s="356"/>
      <c r="K43" s="356"/>
      <c r="L43" s="356"/>
      <c r="M43" s="389" t="s">
        <v>84</v>
      </c>
      <c r="N43" s="389"/>
      <c r="O43" s="389"/>
      <c r="P43" s="389"/>
      <c r="Q43" s="356">
        <f>AU4</f>
        <v>0</v>
      </c>
      <c r="R43" s="356"/>
      <c r="S43" s="356"/>
      <c r="T43" s="356"/>
      <c r="U43" s="356">
        <f>Q43*7</f>
        <v>0</v>
      </c>
      <c r="V43" s="356"/>
      <c r="W43" s="356"/>
      <c r="X43" s="401"/>
      <c r="Y43" s="657"/>
      <c r="Z43" s="657"/>
      <c r="AA43" s="657"/>
      <c r="AB43" s="657"/>
      <c r="AC43" s="657"/>
      <c r="AD43" s="657"/>
      <c r="AE43" s="657"/>
      <c r="AF43" s="657"/>
      <c r="AG43" s="657"/>
      <c r="AH43" s="657"/>
      <c r="AI43" s="657"/>
      <c r="AJ43" s="657"/>
      <c r="AK43" s="657"/>
      <c r="AL43" s="657"/>
      <c r="AM43" s="657"/>
      <c r="AN43" s="657"/>
      <c r="AO43" s="657"/>
      <c r="AP43" s="657"/>
      <c r="AQ43" s="657"/>
      <c r="AR43" s="657"/>
      <c r="AS43" s="657"/>
      <c r="AT43" s="657"/>
      <c r="AU43" s="657"/>
      <c r="AV43" s="657"/>
      <c r="AW43" s="362"/>
      <c r="AX43" s="363"/>
      <c r="AY43" s="363"/>
      <c r="AZ43" s="363"/>
      <c r="BA43" s="363"/>
      <c r="BB43" s="363"/>
      <c r="BC43" s="240"/>
      <c r="BD43" s="146">
        <f t="shared" si="1"/>
        <v>0</v>
      </c>
      <c r="BE43" s="356" t="str">
        <f>IF(AW43="","",HLOOKUP(AW43,AssociatedRef!$AP$1:$BZ$123,LOOKUP($CD$2,AssociatedRef!$AP$2:$AP$123,AssociatedRef!$AQ$2:$AQ$123),FALSE))</f>
        <v/>
      </c>
      <c r="BF43" s="356"/>
      <c r="BG43" s="161" t="s">
        <v>361</v>
      </c>
      <c r="BH43" s="149" t="str">
        <f t="shared" si="2"/>
        <v/>
      </c>
      <c r="BI43" s="677"/>
      <c r="BJ43" s="356"/>
      <c r="BK43" s="356"/>
      <c r="BL43" s="356"/>
      <c r="BM43" s="356"/>
      <c r="BN43" s="734"/>
      <c r="BO43" s="734"/>
      <c r="BP43" s="535"/>
      <c r="BQ43" s="535"/>
      <c r="BR43" s="535"/>
      <c r="BS43" s="535"/>
      <c r="BT43" s="652"/>
      <c r="BY43" s="28">
        <f t="shared" si="4"/>
        <v>0</v>
      </c>
    </row>
    <row r="44" spans="1:77" x14ac:dyDescent="0.25">
      <c r="A44" s="677"/>
      <c r="B44" s="356"/>
      <c r="C44" s="356"/>
      <c r="D44" s="356"/>
      <c r="E44" s="356"/>
      <c r="F44" s="356"/>
      <c r="G44" s="356"/>
      <c r="H44" s="356"/>
      <c r="I44" s="389" t="s">
        <v>86</v>
      </c>
      <c r="J44" s="389"/>
      <c r="K44" s="389"/>
      <c r="L44" s="389"/>
      <c r="M44" s="356">
        <f>SUM(I39:L42,U39:X43)</f>
        <v>0</v>
      </c>
      <c r="N44" s="356"/>
      <c r="O44" s="356"/>
      <c r="P44" s="356"/>
      <c r="Q44" s="356"/>
      <c r="R44" s="356"/>
      <c r="S44" s="356"/>
      <c r="T44" s="356"/>
      <c r="U44" s="356"/>
      <c r="V44" s="356"/>
      <c r="W44" s="356"/>
      <c r="X44" s="401"/>
      <c r="Y44" s="657"/>
      <c r="Z44" s="657"/>
      <c r="AA44" s="657"/>
      <c r="AB44" s="657"/>
      <c r="AC44" s="657"/>
      <c r="AD44" s="657"/>
      <c r="AE44" s="657"/>
      <c r="AF44" s="657"/>
      <c r="AG44" s="657"/>
      <c r="AH44" s="657"/>
      <c r="AI44" s="657"/>
      <c r="AJ44" s="657"/>
      <c r="AK44" s="657"/>
      <c r="AL44" s="657"/>
      <c r="AM44" s="657"/>
      <c r="AN44" s="657"/>
      <c r="AO44" s="657"/>
      <c r="AP44" s="657"/>
      <c r="AQ44" s="657"/>
      <c r="AR44" s="657"/>
      <c r="AS44" s="657"/>
      <c r="AT44" s="657"/>
      <c r="AU44" s="657"/>
      <c r="AV44" s="657"/>
      <c r="AW44" s="362"/>
      <c r="AX44" s="363"/>
      <c r="AY44" s="363"/>
      <c r="AZ44" s="363"/>
      <c r="BA44" s="363"/>
      <c r="BB44" s="363"/>
      <c r="BC44" s="240"/>
      <c r="BD44" s="146">
        <f t="shared" si="1"/>
        <v>0</v>
      </c>
      <c r="BE44" s="356" t="str">
        <f>IF(AW44="","",HLOOKUP(AW44,AssociatedRef!$AP$1:$BZ$123,LOOKUP($CD$2,AssociatedRef!$AP$2:$AP$123,AssociatedRef!$AQ$2:$AQ$123),FALSE))</f>
        <v/>
      </c>
      <c r="BF44" s="356"/>
      <c r="BG44" s="161" t="s">
        <v>361</v>
      </c>
      <c r="BH44" s="149" t="str">
        <f t="shared" si="2"/>
        <v/>
      </c>
      <c r="BI44" s="677"/>
      <c r="BJ44" s="356"/>
      <c r="BK44" s="356"/>
      <c r="BL44" s="356"/>
      <c r="BM44" s="356"/>
      <c r="BN44" s="734"/>
      <c r="BO44" s="734"/>
      <c r="BP44" s="535"/>
      <c r="BQ44" s="535"/>
      <c r="BR44" s="535"/>
      <c r="BS44" s="535"/>
      <c r="BT44" s="652"/>
      <c r="BY44" s="28">
        <f t="shared" si="4"/>
        <v>0</v>
      </c>
    </row>
    <row r="45" spans="1:77" x14ac:dyDescent="0.25">
      <c r="A45" s="677"/>
      <c r="B45" s="356"/>
      <c r="C45" s="356"/>
      <c r="D45" s="356"/>
      <c r="E45" s="356"/>
      <c r="F45" s="356"/>
      <c r="G45" s="356"/>
      <c r="H45" s="356"/>
      <c r="I45" s="389" t="s">
        <v>32</v>
      </c>
      <c r="J45" s="389"/>
      <c r="K45" s="389"/>
      <c r="L45" s="389"/>
      <c r="M45" s="356">
        <f>15-M44</f>
        <v>15</v>
      </c>
      <c r="N45" s="356"/>
      <c r="O45" s="356"/>
      <c r="P45" s="356"/>
      <c r="Q45" s="356"/>
      <c r="R45" s="356"/>
      <c r="S45" s="356"/>
      <c r="T45" s="356"/>
      <c r="U45" s="356"/>
      <c r="V45" s="356"/>
      <c r="W45" s="356"/>
      <c r="X45" s="401"/>
      <c r="Y45" s="657"/>
      <c r="Z45" s="657"/>
      <c r="AA45" s="657"/>
      <c r="AB45" s="657"/>
      <c r="AC45" s="657"/>
      <c r="AD45" s="657"/>
      <c r="AE45" s="657"/>
      <c r="AF45" s="657"/>
      <c r="AG45" s="657"/>
      <c r="AH45" s="657"/>
      <c r="AI45" s="657"/>
      <c r="AJ45" s="657"/>
      <c r="AK45" s="657"/>
      <c r="AL45" s="657"/>
      <c r="AM45" s="657"/>
      <c r="AN45" s="657"/>
      <c r="AO45" s="657"/>
      <c r="AP45" s="657"/>
      <c r="AQ45" s="657"/>
      <c r="AR45" s="657"/>
      <c r="AS45" s="657"/>
      <c r="AT45" s="657"/>
      <c r="AU45" s="657"/>
      <c r="AV45" s="657"/>
      <c r="AW45" s="362"/>
      <c r="AX45" s="363"/>
      <c r="AY45" s="363"/>
      <c r="AZ45" s="363"/>
      <c r="BA45" s="363"/>
      <c r="BB45" s="363"/>
      <c r="BC45" s="240"/>
      <c r="BD45" s="146">
        <f t="shared" si="1"/>
        <v>0</v>
      </c>
      <c r="BE45" s="356" t="str">
        <f>IF(AW45="","",HLOOKUP(AW45,AssociatedRef!$AP$1:$BZ$123,LOOKUP($CD$2,AssociatedRef!$AP$2:$AP$123,AssociatedRef!$AQ$2:$AQ$123),FALSE))</f>
        <v/>
      </c>
      <c r="BF45" s="356"/>
      <c r="BG45" s="161" t="s">
        <v>361</v>
      </c>
      <c r="BH45" s="149" t="str">
        <f t="shared" si="2"/>
        <v/>
      </c>
      <c r="BI45" s="677"/>
      <c r="BJ45" s="356"/>
      <c r="BK45" s="356"/>
      <c r="BL45" s="356"/>
      <c r="BM45" s="356"/>
      <c r="BN45" s="734"/>
      <c r="BO45" s="734"/>
      <c r="BP45" s="535"/>
      <c r="BQ45" s="535"/>
      <c r="BR45" s="535"/>
      <c r="BS45" s="535"/>
      <c r="BT45" s="652"/>
      <c r="BY45" s="28">
        <f t="shared" si="4"/>
        <v>0</v>
      </c>
    </row>
    <row r="46" spans="1:77" ht="15.75" thickBot="1" x14ac:dyDescent="0.3">
      <c r="A46" s="679"/>
      <c r="B46" s="434"/>
      <c r="C46" s="434"/>
      <c r="D46" s="434"/>
      <c r="E46" s="434"/>
      <c r="F46" s="434"/>
      <c r="G46" s="434"/>
      <c r="H46" s="434"/>
      <c r="I46" s="395" t="s">
        <v>29</v>
      </c>
      <c r="J46" s="395"/>
      <c r="K46" s="395"/>
      <c r="L46" s="395"/>
      <c r="M46" s="434" t="str">
        <f>IF(M45=0,"Yes","No")</f>
        <v>No</v>
      </c>
      <c r="N46" s="434"/>
      <c r="O46" s="434"/>
      <c r="P46" s="434"/>
      <c r="Q46" s="434"/>
      <c r="R46" s="434"/>
      <c r="S46" s="434"/>
      <c r="T46" s="434"/>
      <c r="U46" s="434"/>
      <c r="V46" s="434"/>
      <c r="W46" s="434"/>
      <c r="X46" s="474"/>
      <c r="Y46" s="733"/>
      <c r="Z46" s="733"/>
      <c r="AA46" s="733"/>
      <c r="AB46" s="733"/>
      <c r="AC46" s="733"/>
      <c r="AD46" s="733"/>
      <c r="AE46" s="733"/>
      <c r="AF46" s="733"/>
      <c r="AG46" s="733"/>
      <c r="AH46" s="733"/>
      <c r="AI46" s="733"/>
      <c r="AJ46" s="733"/>
      <c r="AK46" s="733"/>
      <c r="AL46" s="733"/>
      <c r="AM46" s="733"/>
      <c r="AN46" s="733"/>
      <c r="AO46" s="733"/>
      <c r="AP46" s="733"/>
      <c r="AQ46" s="733"/>
      <c r="AR46" s="733"/>
      <c r="AS46" s="733"/>
      <c r="AT46" s="733"/>
      <c r="AU46" s="733"/>
      <c r="AV46" s="733"/>
      <c r="AW46" s="368"/>
      <c r="AX46" s="366"/>
      <c r="AY46" s="366"/>
      <c r="AZ46" s="366"/>
      <c r="BA46" s="366"/>
      <c r="BB46" s="366"/>
      <c r="BC46" s="243"/>
      <c r="BD46" s="150">
        <f t="shared" si="1"/>
        <v>0</v>
      </c>
      <c r="BE46" s="434" t="str">
        <f>IF(AW46="","",HLOOKUP(AW46,AssociatedRef!$AP$1:$BZ$123,LOOKUP($CD$2,AssociatedRef!$AP$2:$AP$123,AssociatedRef!$AQ$2:$AQ$123),FALSE))</f>
        <v/>
      </c>
      <c r="BF46" s="434"/>
      <c r="BG46" s="159" t="s">
        <v>361</v>
      </c>
      <c r="BH46" s="160" t="str">
        <f t="shared" si="2"/>
        <v/>
      </c>
      <c r="BI46" s="679"/>
      <c r="BJ46" s="434"/>
      <c r="BK46" s="434"/>
      <c r="BL46" s="434"/>
      <c r="BM46" s="434"/>
      <c r="BN46" s="735"/>
      <c r="BO46" s="735"/>
      <c r="BP46" s="538"/>
      <c r="BQ46" s="538"/>
      <c r="BR46" s="538"/>
      <c r="BS46" s="538"/>
      <c r="BT46" s="736"/>
      <c r="BY46" s="28">
        <f t="shared" si="4"/>
        <v>0</v>
      </c>
    </row>
    <row r="54" spans="77:77" x14ac:dyDescent="0.25">
      <c r="BY54" s="2"/>
    </row>
    <row r="55" spans="77:77" x14ac:dyDescent="0.25">
      <c r="BY55" s="2"/>
    </row>
    <row r="56" spans="77:77" x14ac:dyDescent="0.25">
      <c r="BY56" s="2"/>
    </row>
    <row r="57" spans="77:77" x14ac:dyDescent="0.25">
      <c r="BY57" s="2"/>
    </row>
    <row r="58" spans="77:77" x14ac:dyDescent="0.25">
      <c r="BY58" s="2"/>
    </row>
    <row r="59" spans="77:77" x14ac:dyDescent="0.25">
      <c r="BY59" s="2"/>
    </row>
    <row r="60" spans="77:77" x14ac:dyDescent="0.25">
      <c r="BY60" s="2"/>
    </row>
    <row r="61" spans="77:77" x14ac:dyDescent="0.25">
      <c r="BY61" s="2"/>
    </row>
    <row r="62" spans="77:77" x14ac:dyDescent="0.25">
      <c r="BY62" s="2"/>
    </row>
    <row r="63" spans="77:77" x14ac:dyDescent="0.25">
      <c r="BY63" s="2"/>
    </row>
    <row r="64" spans="77:77" x14ac:dyDescent="0.25">
      <c r="BY64" s="2"/>
    </row>
    <row r="65" spans="77:77" x14ac:dyDescent="0.25">
      <c r="BY65" s="2"/>
    </row>
    <row r="66" spans="77:77" x14ac:dyDescent="0.25">
      <c r="BY66" s="2"/>
    </row>
    <row r="67" spans="77:77" x14ac:dyDescent="0.25">
      <c r="BY67" s="2"/>
    </row>
    <row r="68" spans="77:77" x14ac:dyDescent="0.25">
      <c r="BY68" s="2"/>
    </row>
    <row r="69" spans="77:77" x14ac:dyDescent="0.25">
      <c r="BY69" s="2"/>
    </row>
    <row r="70" spans="77:77" x14ac:dyDescent="0.25">
      <c r="BY70" s="2"/>
    </row>
    <row r="71" spans="77:77" x14ac:dyDescent="0.25">
      <c r="BY71" s="2"/>
    </row>
    <row r="72" spans="77:77" x14ac:dyDescent="0.25">
      <c r="BY72" s="2"/>
    </row>
    <row r="73" spans="77:77" x14ac:dyDescent="0.25">
      <c r="BY73" s="2"/>
    </row>
    <row r="74" spans="77:77" x14ac:dyDescent="0.25">
      <c r="BY74" s="2"/>
    </row>
    <row r="75" spans="77:77" x14ac:dyDescent="0.25">
      <c r="BY75" s="2"/>
    </row>
  </sheetData>
  <sheetProtection password="E9C2" sheet="1" objects="1" scenarios="1" selectLockedCells="1"/>
  <mergeCells count="604">
    <mergeCell ref="I45:L45"/>
    <mergeCell ref="M45:P45"/>
    <mergeCell ref="Q43:T43"/>
    <mergeCell ref="BO40:BO46"/>
    <mergeCell ref="BP40:BT46"/>
    <mergeCell ref="AW41:BB41"/>
    <mergeCell ref="BE41:BF41"/>
    <mergeCell ref="BI41:BL41"/>
    <mergeCell ref="BE45:BF45"/>
    <mergeCell ref="AW46:BB46"/>
    <mergeCell ref="BE46:BF46"/>
    <mergeCell ref="AW42:BB42"/>
    <mergeCell ref="BE42:BF42"/>
    <mergeCell ref="BI42:BL42"/>
    <mergeCell ref="AW43:BB43"/>
    <mergeCell ref="BE43:BF43"/>
    <mergeCell ref="BI43:BM46"/>
    <mergeCell ref="AW44:BB44"/>
    <mergeCell ref="BE44:BF44"/>
    <mergeCell ref="AW45:BB45"/>
    <mergeCell ref="Y39:AV46"/>
    <mergeCell ref="BI36:BL36"/>
    <mergeCell ref="BP36:BT36"/>
    <mergeCell ref="I44:L44"/>
    <mergeCell ref="M44:P44"/>
    <mergeCell ref="Q44:X46"/>
    <mergeCell ref="BP39:BT39"/>
    <mergeCell ref="AW37:BB37"/>
    <mergeCell ref="BE37:BF37"/>
    <mergeCell ref="BI37:BL37"/>
    <mergeCell ref="AW40:BB40"/>
    <mergeCell ref="BE40:BF40"/>
    <mergeCell ref="BI40:BL40"/>
    <mergeCell ref="AW38:BB38"/>
    <mergeCell ref="BE38:BF38"/>
    <mergeCell ref="BI38:BL38"/>
    <mergeCell ref="BP38:BT38"/>
    <mergeCell ref="I46:L46"/>
    <mergeCell ref="M46:P46"/>
    <mergeCell ref="AW39:BB39"/>
    <mergeCell ref="BE39:BF39"/>
    <mergeCell ref="I43:L43"/>
    <mergeCell ref="M43:P43"/>
    <mergeCell ref="U43:X43"/>
    <mergeCell ref="BN40:BN46"/>
    <mergeCell ref="AW35:BB35"/>
    <mergeCell ref="BE35:BF35"/>
    <mergeCell ref="BI35:BL35"/>
    <mergeCell ref="A42:D42"/>
    <mergeCell ref="E42:H42"/>
    <mergeCell ref="I42:L42"/>
    <mergeCell ref="M42:P42"/>
    <mergeCell ref="Q42:T42"/>
    <mergeCell ref="BI39:BL39"/>
    <mergeCell ref="U42:X42"/>
    <mergeCell ref="A39:D39"/>
    <mergeCell ref="E39:H39"/>
    <mergeCell ref="I39:L39"/>
    <mergeCell ref="M39:P39"/>
    <mergeCell ref="Q39:T39"/>
    <mergeCell ref="U39:X39"/>
    <mergeCell ref="A38:D38"/>
    <mergeCell ref="E38:H38"/>
    <mergeCell ref="I38:L38"/>
    <mergeCell ref="M38:P38"/>
    <mergeCell ref="Q38:T38"/>
    <mergeCell ref="U38:X38"/>
    <mergeCell ref="AW36:BB36"/>
    <mergeCell ref="BE36:BF36"/>
    <mergeCell ref="AW33:BB33"/>
    <mergeCell ref="A40:D40"/>
    <mergeCell ref="E40:H40"/>
    <mergeCell ref="I40:L40"/>
    <mergeCell ref="M40:P40"/>
    <mergeCell ref="Q40:T40"/>
    <mergeCell ref="BP34:BT34"/>
    <mergeCell ref="BP37:BT37"/>
    <mergeCell ref="A41:D41"/>
    <mergeCell ref="E41:H41"/>
    <mergeCell ref="I41:L41"/>
    <mergeCell ref="M41:P41"/>
    <mergeCell ref="Q41:T41"/>
    <mergeCell ref="U41:X41"/>
    <mergeCell ref="AW34:BB34"/>
    <mergeCell ref="BE34:BF34"/>
    <mergeCell ref="BI34:BL34"/>
    <mergeCell ref="BP33:BT33"/>
    <mergeCell ref="U40:X40"/>
    <mergeCell ref="Y33:AB33"/>
    <mergeCell ref="AC33:AE33"/>
    <mergeCell ref="AF33:AG33"/>
    <mergeCell ref="AH33:AI33"/>
    <mergeCell ref="AJ33:AM33"/>
    <mergeCell ref="BE32:BF32"/>
    <mergeCell ref="BI32:BL32"/>
    <mergeCell ref="BP32:BT32"/>
    <mergeCell ref="Y32:AB32"/>
    <mergeCell ref="AC32:AE32"/>
    <mergeCell ref="AF32:AG32"/>
    <mergeCell ref="AH32:AI32"/>
    <mergeCell ref="AJ32:AM32"/>
    <mergeCell ref="AN32:AS32"/>
    <mergeCell ref="BE33:BF33"/>
    <mergeCell ref="BI33:BL33"/>
    <mergeCell ref="BP35:BT35"/>
    <mergeCell ref="A36:X37"/>
    <mergeCell ref="AN33:AS33"/>
    <mergeCell ref="AT33:AV33"/>
    <mergeCell ref="BN31:BO31"/>
    <mergeCell ref="BP31:BT31"/>
    <mergeCell ref="BI31:BL31"/>
    <mergeCell ref="AT31:AV31"/>
    <mergeCell ref="AW31:BB31"/>
    <mergeCell ref="BE31:BF31"/>
    <mergeCell ref="Y31:AB31"/>
    <mergeCell ref="AC31:AE31"/>
    <mergeCell ref="AF31:AG31"/>
    <mergeCell ref="AH31:AI31"/>
    <mergeCell ref="AJ31:AM31"/>
    <mergeCell ref="AN31:AS31"/>
    <mergeCell ref="E31:F31"/>
    <mergeCell ref="G31:H31"/>
    <mergeCell ref="I31:L31"/>
    <mergeCell ref="M31:P31"/>
    <mergeCell ref="AT32:AV32"/>
    <mergeCell ref="AW32:BB32"/>
    <mergeCell ref="AF28:AG28"/>
    <mergeCell ref="AH28:AI28"/>
    <mergeCell ref="A35:D35"/>
    <mergeCell ref="E35:H35"/>
    <mergeCell ref="Y30:AB30"/>
    <mergeCell ref="AC30:AE30"/>
    <mergeCell ref="AF30:AG30"/>
    <mergeCell ref="AH30:AI30"/>
    <mergeCell ref="Q31:R31"/>
    <mergeCell ref="S31:T31"/>
    <mergeCell ref="A31:D31"/>
    <mergeCell ref="U31:X35"/>
    <mergeCell ref="A32:D32"/>
    <mergeCell ref="E32:F32"/>
    <mergeCell ref="G32:H32"/>
    <mergeCell ref="I32:L32"/>
    <mergeCell ref="M32:P32"/>
    <mergeCell ref="Q32:R32"/>
    <mergeCell ref="S32:T32"/>
    <mergeCell ref="A34:D34"/>
    <mergeCell ref="AT26:AV26"/>
    <mergeCell ref="AW26:BB26"/>
    <mergeCell ref="BE26:BF26"/>
    <mergeCell ref="BP27:BT27"/>
    <mergeCell ref="AJ27:AM27"/>
    <mergeCell ref="BE25:BF25"/>
    <mergeCell ref="BI25:BL25"/>
    <mergeCell ref="BP26:BT26"/>
    <mergeCell ref="AJ26:AM26"/>
    <mergeCell ref="AN26:AS26"/>
    <mergeCell ref="AW27:BB27"/>
    <mergeCell ref="BE27:BF27"/>
    <mergeCell ref="BI27:BL27"/>
    <mergeCell ref="BP28:BT28"/>
    <mergeCell ref="AJ28:AM28"/>
    <mergeCell ref="AN28:AS28"/>
    <mergeCell ref="BI26:BL26"/>
    <mergeCell ref="AN27:AS27"/>
    <mergeCell ref="AT27:AV27"/>
    <mergeCell ref="AH27:AI27"/>
    <mergeCell ref="E34:H34"/>
    <mergeCell ref="E26:F26"/>
    <mergeCell ref="G26:H26"/>
    <mergeCell ref="I26:L26"/>
    <mergeCell ref="AT28:AV28"/>
    <mergeCell ref="AW28:BB28"/>
    <mergeCell ref="BE28:BF28"/>
    <mergeCell ref="BI28:BL28"/>
    <mergeCell ref="AN30:AS30"/>
    <mergeCell ref="AJ29:AM29"/>
    <mergeCell ref="AN29:AS29"/>
    <mergeCell ref="AT29:AV29"/>
    <mergeCell ref="AW29:BB29"/>
    <mergeCell ref="BE29:BF29"/>
    <mergeCell ref="BI29:BT30"/>
    <mergeCell ref="AT30:AV30"/>
    <mergeCell ref="AW30:BB30"/>
    <mergeCell ref="BE30:BF30"/>
    <mergeCell ref="AJ30:AM30"/>
    <mergeCell ref="AF29:AG29"/>
    <mergeCell ref="AH29:AI29"/>
    <mergeCell ref="Y28:AB28"/>
    <mergeCell ref="AC28:AE28"/>
    <mergeCell ref="A26:D26"/>
    <mergeCell ref="A33:D33"/>
    <mergeCell ref="E33:F33"/>
    <mergeCell ref="G33:H33"/>
    <mergeCell ref="I33:L33"/>
    <mergeCell ref="M33:P33"/>
    <mergeCell ref="Q33:R33"/>
    <mergeCell ref="S33:T33"/>
    <mergeCell ref="A29:D29"/>
    <mergeCell ref="E29:H29"/>
    <mergeCell ref="A27:D27"/>
    <mergeCell ref="E27:F27"/>
    <mergeCell ref="G27:H27"/>
    <mergeCell ref="W29:X29"/>
    <mergeCell ref="Y29:AB29"/>
    <mergeCell ref="A28:D28"/>
    <mergeCell ref="E28:H28"/>
    <mergeCell ref="U27:X28"/>
    <mergeCell ref="BP22:BT22"/>
    <mergeCell ref="M30:P30"/>
    <mergeCell ref="Q30:R30"/>
    <mergeCell ref="S30:T30"/>
    <mergeCell ref="AF22:AG22"/>
    <mergeCell ref="AH22:AI22"/>
    <mergeCell ref="AJ22:AM22"/>
    <mergeCell ref="AN22:AS22"/>
    <mergeCell ref="AT22:AV22"/>
    <mergeCell ref="AW22:BB22"/>
    <mergeCell ref="AT23:AV23"/>
    <mergeCell ref="AW23:BB23"/>
    <mergeCell ref="BE23:BF23"/>
    <mergeCell ref="BI23:BL23"/>
    <mergeCell ref="BP23:BT23"/>
    <mergeCell ref="AJ23:AM23"/>
    <mergeCell ref="U30:V30"/>
    <mergeCell ref="W30:X30"/>
    <mergeCell ref="M27:T28"/>
    <mergeCell ref="Y27:AB27"/>
    <mergeCell ref="M29:P29"/>
    <mergeCell ref="Q29:R29"/>
    <mergeCell ref="S29:T29"/>
    <mergeCell ref="U29:V29"/>
    <mergeCell ref="BP24:BT24"/>
    <mergeCell ref="AF25:AG25"/>
    <mergeCell ref="AH25:AI25"/>
    <mergeCell ref="AW24:BB24"/>
    <mergeCell ref="BE24:BF24"/>
    <mergeCell ref="BI24:BL24"/>
    <mergeCell ref="BP25:BT25"/>
    <mergeCell ref="AJ25:AM25"/>
    <mergeCell ref="AN25:AS25"/>
    <mergeCell ref="AT25:AV25"/>
    <mergeCell ref="AW25:BB25"/>
    <mergeCell ref="Y20:AB20"/>
    <mergeCell ref="AC20:AE20"/>
    <mergeCell ref="AJ21:AM21"/>
    <mergeCell ref="AN21:AS21"/>
    <mergeCell ref="AN23:AS23"/>
    <mergeCell ref="M22:P22"/>
    <mergeCell ref="Q22:T22"/>
    <mergeCell ref="BP20:BT20"/>
    <mergeCell ref="AT20:AV20"/>
    <mergeCell ref="AW20:BB20"/>
    <mergeCell ref="BI21:BL21"/>
    <mergeCell ref="BP21:BT21"/>
    <mergeCell ref="Y23:AB23"/>
    <mergeCell ref="AC23:AE23"/>
    <mergeCell ref="Y21:AB21"/>
    <mergeCell ref="AC21:AE21"/>
    <mergeCell ref="AF21:AG21"/>
    <mergeCell ref="AF20:AG20"/>
    <mergeCell ref="AH20:AI20"/>
    <mergeCell ref="AJ20:AM20"/>
    <mergeCell ref="AN20:AS20"/>
    <mergeCell ref="Y22:AB22"/>
    <mergeCell ref="AC22:AE22"/>
    <mergeCell ref="AH21:AI21"/>
    <mergeCell ref="AW17:BB17"/>
    <mergeCell ref="BE17:BF17"/>
    <mergeCell ref="AW21:BB21"/>
    <mergeCell ref="BE21:BF21"/>
    <mergeCell ref="Y17:AB17"/>
    <mergeCell ref="BI17:BN17"/>
    <mergeCell ref="AC19:AE19"/>
    <mergeCell ref="AF19:AG19"/>
    <mergeCell ref="AJ24:AM24"/>
    <mergeCell ref="AN24:AS24"/>
    <mergeCell ref="AT24:AV24"/>
    <mergeCell ref="AH19:AI19"/>
    <mergeCell ref="BE20:BF20"/>
    <mergeCell ref="BI20:BL20"/>
    <mergeCell ref="AN19:AS19"/>
    <mergeCell ref="AT19:AV19"/>
    <mergeCell ref="BN20:BO20"/>
    <mergeCell ref="BI22:BL22"/>
    <mergeCell ref="AF23:AG23"/>
    <mergeCell ref="AH23:AI23"/>
    <mergeCell ref="AH24:AI24"/>
    <mergeCell ref="AF24:AG24"/>
    <mergeCell ref="BE18:BF18"/>
    <mergeCell ref="BI18:BT19"/>
    <mergeCell ref="BE22:BF22"/>
    <mergeCell ref="G18:H18"/>
    <mergeCell ref="I18:L18"/>
    <mergeCell ref="M18:P18"/>
    <mergeCell ref="Q18:T18"/>
    <mergeCell ref="A20:D20"/>
    <mergeCell ref="E20:F20"/>
    <mergeCell ref="G20:H20"/>
    <mergeCell ref="I20:L20"/>
    <mergeCell ref="E18:F18"/>
    <mergeCell ref="Y18:AB18"/>
    <mergeCell ref="U18:X18"/>
    <mergeCell ref="U19:X19"/>
    <mergeCell ref="Q21:T21"/>
    <mergeCell ref="M20:P20"/>
    <mergeCell ref="Q20:T20"/>
    <mergeCell ref="AT18:AV18"/>
    <mergeCell ref="AW18:BB18"/>
    <mergeCell ref="AW19:BB19"/>
    <mergeCell ref="BE19:BF19"/>
    <mergeCell ref="AT21:AV21"/>
    <mergeCell ref="Y19:AB19"/>
    <mergeCell ref="AF18:AG18"/>
    <mergeCell ref="AH18:AI18"/>
    <mergeCell ref="BS13:BT13"/>
    <mergeCell ref="AN13:AS13"/>
    <mergeCell ref="AT13:AV13"/>
    <mergeCell ref="Y13:AB13"/>
    <mergeCell ref="BM13:BN13"/>
    <mergeCell ref="BO13:BP13"/>
    <mergeCell ref="BQ13:BR13"/>
    <mergeCell ref="AC15:AE15"/>
    <mergeCell ref="AF15:AG15"/>
    <mergeCell ref="AH15:AI15"/>
    <mergeCell ref="AJ15:AM15"/>
    <mergeCell ref="AN15:AS15"/>
    <mergeCell ref="AT15:AV15"/>
    <mergeCell ref="BO14:BP15"/>
    <mergeCell ref="BQ14:BT17"/>
    <mergeCell ref="AN14:AS14"/>
    <mergeCell ref="AT14:AV14"/>
    <mergeCell ref="AW14:BB14"/>
    <mergeCell ref="BE14:BF14"/>
    <mergeCell ref="BI14:BN15"/>
    <mergeCell ref="AW15:BB15"/>
    <mergeCell ref="BE15:BF15"/>
    <mergeCell ref="AC14:AE14"/>
    <mergeCell ref="AF14:AG14"/>
    <mergeCell ref="BM11:BN11"/>
    <mergeCell ref="BO11:BP11"/>
    <mergeCell ref="BQ11:BR11"/>
    <mergeCell ref="BS11:BT11"/>
    <mergeCell ref="A19:D19"/>
    <mergeCell ref="E19:F19"/>
    <mergeCell ref="G19:H19"/>
    <mergeCell ref="I19:L19"/>
    <mergeCell ref="M19:P19"/>
    <mergeCell ref="Q19:T19"/>
    <mergeCell ref="AJ11:AM11"/>
    <mergeCell ref="AN11:AS11"/>
    <mergeCell ref="AT11:AV11"/>
    <mergeCell ref="AW11:BB11"/>
    <mergeCell ref="BE11:BF11"/>
    <mergeCell ref="Y11:AB11"/>
    <mergeCell ref="AC11:AE11"/>
    <mergeCell ref="AF11:AG11"/>
    <mergeCell ref="AH11:AI11"/>
    <mergeCell ref="A18:D18"/>
    <mergeCell ref="BQ12:BR12"/>
    <mergeCell ref="BS12:BT12"/>
    <mergeCell ref="AJ12:AM12"/>
    <mergeCell ref="AN12:AS12"/>
    <mergeCell ref="BM12:BN12"/>
    <mergeCell ref="BO12:BP12"/>
    <mergeCell ref="AC13:AE13"/>
    <mergeCell ref="AF13:AG13"/>
    <mergeCell ref="AH13:AI13"/>
    <mergeCell ref="BO16:BP16"/>
    <mergeCell ref="BO17:BP17"/>
    <mergeCell ref="AW13:BB13"/>
    <mergeCell ref="BE13:BF13"/>
    <mergeCell ref="BI13:BL13"/>
    <mergeCell ref="AJ13:AM13"/>
    <mergeCell ref="AN16:AS16"/>
    <mergeCell ref="AT16:AV16"/>
    <mergeCell ref="AT12:AV12"/>
    <mergeCell ref="AW12:BB12"/>
    <mergeCell ref="BE12:BF12"/>
    <mergeCell ref="AC12:AE12"/>
    <mergeCell ref="AF12:AG12"/>
    <mergeCell ref="AH12:AI12"/>
    <mergeCell ref="AH14:AI14"/>
    <mergeCell ref="AW16:BB16"/>
    <mergeCell ref="BE16:BF16"/>
    <mergeCell ref="BI16:BN16"/>
    <mergeCell ref="AJ14:AM14"/>
    <mergeCell ref="BO8:BP8"/>
    <mergeCell ref="BS10:BT10"/>
    <mergeCell ref="BQ9:BR9"/>
    <mergeCell ref="BS9:BT9"/>
    <mergeCell ref="Y10:AB10"/>
    <mergeCell ref="AC10:AE10"/>
    <mergeCell ref="AF10:AG10"/>
    <mergeCell ref="AH10:AI10"/>
    <mergeCell ref="BM9:BN9"/>
    <mergeCell ref="BO9:BP9"/>
    <mergeCell ref="BE10:BF10"/>
    <mergeCell ref="BM10:BN10"/>
    <mergeCell ref="BO10:BP10"/>
    <mergeCell ref="BQ10:BR10"/>
    <mergeCell ref="BI9:BJ9"/>
    <mergeCell ref="BK9:BL9"/>
    <mergeCell ref="BI10:BJ10"/>
    <mergeCell ref="BK10:BL10"/>
    <mergeCell ref="AJ10:AM10"/>
    <mergeCell ref="AN10:AS10"/>
    <mergeCell ref="AT10:AV10"/>
    <mergeCell ref="AW10:BB10"/>
    <mergeCell ref="AT9:AV9"/>
    <mergeCell ref="AJ9:AM9"/>
    <mergeCell ref="BS6:BT6"/>
    <mergeCell ref="A14:X15"/>
    <mergeCell ref="Y7:AB7"/>
    <mergeCell ref="AC7:AE7"/>
    <mergeCell ref="AF7:AG7"/>
    <mergeCell ref="AH7:AI7"/>
    <mergeCell ref="AH6:AI6"/>
    <mergeCell ref="AJ6:AM6"/>
    <mergeCell ref="AN6:AS6"/>
    <mergeCell ref="AT6:AV6"/>
    <mergeCell ref="AW6:BB6"/>
    <mergeCell ref="BE6:BF6"/>
    <mergeCell ref="BM7:BN7"/>
    <mergeCell ref="BO7:BP7"/>
    <mergeCell ref="BQ7:BR7"/>
    <mergeCell ref="BS7:BT7"/>
    <mergeCell ref="Y8:AB8"/>
    <mergeCell ref="AC8:AE8"/>
    <mergeCell ref="AF8:AG8"/>
    <mergeCell ref="AH8:AI8"/>
    <mergeCell ref="BQ8:BR8"/>
    <mergeCell ref="BS8:BT8"/>
    <mergeCell ref="Y9:AB9"/>
    <mergeCell ref="BM8:BN8"/>
    <mergeCell ref="BS5:BT5"/>
    <mergeCell ref="BM5:BN5"/>
    <mergeCell ref="BO5:BP5"/>
    <mergeCell ref="BQ5:BR5"/>
    <mergeCell ref="AH4:AI4"/>
    <mergeCell ref="AJ4:AM4"/>
    <mergeCell ref="A13:D13"/>
    <mergeCell ref="O13:R13"/>
    <mergeCell ref="Y6:AB6"/>
    <mergeCell ref="AC6:AE6"/>
    <mergeCell ref="AF6:AG6"/>
    <mergeCell ref="AW5:BB5"/>
    <mergeCell ref="BE5:BF5"/>
    <mergeCell ref="AC5:AE5"/>
    <mergeCell ref="AF5:AG5"/>
    <mergeCell ref="AH5:AI5"/>
    <mergeCell ref="AJ5:AM5"/>
    <mergeCell ref="AN5:AS5"/>
    <mergeCell ref="AT5:AV5"/>
    <mergeCell ref="BM6:BN6"/>
    <mergeCell ref="BO6:BP6"/>
    <mergeCell ref="BQ6:BR6"/>
    <mergeCell ref="BI5:BJ5"/>
    <mergeCell ref="BK5:BL5"/>
    <mergeCell ref="A1:D1"/>
    <mergeCell ref="E1:H1"/>
    <mergeCell ref="I1:L2"/>
    <mergeCell ref="M1:X2"/>
    <mergeCell ref="Y1:AM2"/>
    <mergeCell ref="A2:D2"/>
    <mergeCell ref="E2:H2"/>
    <mergeCell ref="Y3:AB3"/>
    <mergeCell ref="AC3:AE3"/>
    <mergeCell ref="AF3:AG3"/>
    <mergeCell ref="AH3:AI3"/>
    <mergeCell ref="AJ3:AM3"/>
    <mergeCell ref="BG3:BH3"/>
    <mergeCell ref="BO4:BP4"/>
    <mergeCell ref="AW1:BH2"/>
    <mergeCell ref="BI1:BT2"/>
    <mergeCell ref="AN1:AV2"/>
    <mergeCell ref="BM3:BN3"/>
    <mergeCell ref="BO3:BP3"/>
    <mergeCell ref="BQ3:BR3"/>
    <mergeCell ref="BS3:BT3"/>
    <mergeCell ref="BQ4:BR4"/>
    <mergeCell ref="BS4:BT4"/>
    <mergeCell ref="BM4:BN4"/>
    <mergeCell ref="AN4:AT4"/>
    <mergeCell ref="AU4:AV4"/>
    <mergeCell ref="AW4:BB4"/>
    <mergeCell ref="BE4:BF4"/>
    <mergeCell ref="AW3:BB3"/>
    <mergeCell ref="BC3:BD3"/>
    <mergeCell ref="BE3:BF3"/>
    <mergeCell ref="BK4:BL4"/>
    <mergeCell ref="AN3:AT3"/>
    <mergeCell ref="AU3:AV3"/>
    <mergeCell ref="BK3:BL3"/>
    <mergeCell ref="BI4:BJ4"/>
    <mergeCell ref="A16:L17"/>
    <mergeCell ref="M16:X17"/>
    <mergeCell ref="AF9:AG9"/>
    <mergeCell ref="AH9:AI9"/>
    <mergeCell ref="Y12:AB12"/>
    <mergeCell ref="AC4:AE4"/>
    <mergeCell ref="AF4:AG4"/>
    <mergeCell ref="A3:X11"/>
    <mergeCell ref="A12:D12"/>
    <mergeCell ref="O12:R12"/>
    <mergeCell ref="Y5:AB5"/>
    <mergeCell ref="Y4:AB4"/>
    <mergeCell ref="AC9:AE9"/>
    <mergeCell ref="AF16:AG16"/>
    <mergeCell ref="AH16:AI16"/>
    <mergeCell ref="AC16:AE16"/>
    <mergeCell ref="Y14:AB14"/>
    <mergeCell ref="Y15:AB15"/>
    <mergeCell ref="S12:X12"/>
    <mergeCell ref="S13:X13"/>
    <mergeCell ref="E12:N12"/>
    <mergeCell ref="E13:N13"/>
    <mergeCell ref="AN7:AS7"/>
    <mergeCell ref="BI11:BJ11"/>
    <mergeCell ref="BK11:BL11"/>
    <mergeCell ref="BI12:BJ12"/>
    <mergeCell ref="BK12:BL12"/>
    <mergeCell ref="BZ1:CC1"/>
    <mergeCell ref="CD1:CG1"/>
    <mergeCell ref="BZ2:CC2"/>
    <mergeCell ref="CD2:CG2"/>
    <mergeCell ref="AW9:BB9"/>
    <mergeCell ref="BE9:BF9"/>
    <mergeCell ref="AN9:AS9"/>
    <mergeCell ref="AW7:BB7"/>
    <mergeCell ref="BE7:BF7"/>
    <mergeCell ref="AT8:AV8"/>
    <mergeCell ref="AW8:BB8"/>
    <mergeCell ref="BE8:BF8"/>
    <mergeCell ref="BI6:BJ6"/>
    <mergeCell ref="BK6:BL6"/>
    <mergeCell ref="BI7:BJ7"/>
    <mergeCell ref="BK7:BL7"/>
    <mergeCell ref="BI8:BJ8"/>
    <mergeCell ref="BK8:BL8"/>
    <mergeCell ref="BI3:BJ3"/>
    <mergeCell ref="AJ8:AM8"/>
    <mergeCell ref="AN8:AS8"/>
    <mergeCell ref="AJ7:AM7"/>
    <mergeCell ref="AT7:AV7"/>
    <mergeCell ref="Y38:AE38"/>
    <mergeCell ref="AF38:AV38"/>
    <mergeCell ref="Y34:AE35"/>
    <mergeCell ref="AF34:AV35"/>
    <mergeCell ref="Y36:AE37"/>
    <mergeCell ref="AF36:AV37"/>
    <mergeCell ref="AJ16:AM16"/>
    <mergeCell ref="AJ19:AM19"/>
    <mergeCell ref="AC18:AE18"/>
    <mergeCell ref="AJ17:AM17"/>
    <mergeCell ref="AC17:AE17"/>
    <mergeCell ref="AF17:AG17"/>
    <mergeCell ref="AH17:AI17"/>
    <mergeCell ref="Y16:AB16"/>
    <mergeCell ref="AN17:AS17"/>
    <mergeCell ref="AT17:AV17"/>
    <mergeCell ref="AJ18:AM18"/>
    <mergeCell ref="AN18:AS18"/>
    <mergeCell ref="AC29:AE29"/>
    <mergeCell ref="Y26:AB26"/>
    <mergeCell ref="AF26:AG26"/>
    <mergeCell ref="AH26:AI26"/>
    <mergeCell ref="AF27:AG27"/>
    <mergeCell ref="A43:H46"/>
    <mergeCell ref="M25:X26"/>
    <mergeCell ref="M34:T35"/>
    <mergeCell ref="I34:L35"/>
    <mergeCell ref="I28:L29"/>
    <mergeCell ref="I22:L23"/>
    <mergeCell ref="A24:L24"/>
    <mergeCell ref="A30:L30"/>
    <mergeCell ref="A25:D25"/>
    <mergeCell ref="E25:F25"/>
    <mergeCell ref="G25:H25"/>
    <mergeCell ref="I25:L25"/>
    <mergeCell ref="Y25:AB25"/>
    <mergeCell ref="AC25:AE25"/>
    <mergeCell ref="I27:L27"/>
    <mergeCell ref="AC27:AE27"/>
    <mergeCell ref="M24:P24"/>
    <mergeCell ref="Y24:AB24"/>
    <mergeCell ref="AC24:AE24"/>
    <mergeCell ref="Q24:T24"/>
    <mergeCell ref="AC26:AE26"/>
    <mergeCell ref="U20:X20"/>
    <mergeCell ref="U21:X21"/>
    <mergeCell ref="U22:X22"/>
    <mergeCell ref="U23:X23"/>
    <mergeCell ref="U24:X24"/>
    <mergeCell ref="A22:D22"/>
    <mergeCell ref="E22:H22"/>
    <mergeCell ref="A21:D21"/>
    <mergeCell ref="E21:F21"/>
    <mergeCell ref="G21:H21"/>
    <mergeCell ref="I21:L21"/>
    <mergeCell ref="M21:P21"/>
    <mergeCell ref="A23:D23"/>
    <mergeCell ref="E23:H23"/>
    <mergeCell ref="M23:P23"/>
    <mergeCell ref="Q23:T23"/>
  </mergeCells>
  <conditionalFormatting sqref="E22:H22 E28:H28 E34:H34">
    <cfRule type="expression" dxfId="247" priority="246">
      <formula>NOT($M$1="Prioritize Your Attribute Groups")</formula>
    </cfRule>
    <cfRule type="notContainsText" dxfId="246" priority="247" operator="notContains" text="Select">
      <formula>ISERROR(SEARCH("Select",E22))</formula>
    </cfRule>
    <cfRule type="expression" dxfId="245" priority="248">
      <formula>$M$1="Prioritize Your Attribute Groups"</formula>
    </cfRule>
  </conditionalFormatting>
  <conditionalFormatting sqref="E22:H22">
    <cfRule type="expression" dxfId="244" priority="245">
      <formula>AND(NOT($E$22="Select"),OR($E$22=$E$28,$E$22=$E$34))</formula>
    </cfRule>
  </conditionalFormatting>
  <conditionalFormatting sqref="E28:H28">
    <cfRule type="expression" dxfId="243" priority="244">
      <formula>AND(NOT($E$28="Select"),OR($E$22=$E$28,$E$28=$E$34))</formula>
    </cfRule>
  </conditionalFormatting>
  <conditionalFormatting sqref="E34:H34">
    <cfRule type="expression" dxfId="242" priority="243">
      <formula>AND(NOT($E$34="Select"),OR($E$34=$E$28,$E$22=$E$34))</formula>
    </cfRule>
  </conditionalFormatting>
  <conditionalFormatting sqref="AW4:BC46 BO4:BP12">
    <cfRule type="expression" dxfId="241" priority="74">
      <formula>$BO$16&lt;0</formula>
    </cfRule>
    <cfRule type="expression" dxfId="240" priority="240">
      <formula>$BO$17="yes"</formula>
    </cfRule>
    <cfRule type="expression" dxfId="239" priority="242">
      <formula>$M$1="Select Advantages"</formula>
    </cfRule>
  </conditionalFormatting>
  <conditionalFormatting sqref="AW4:BC46">
    <cfRule type="notContainsBlanks" dxfId="238" priority="238">
      <formula>LEN(TRIM(AW4))&gt;0</formula>
    </cfRule>
    <cfRule type="notContainsBlanks" dxfId="237" priority="241">
      <formula>LEN(TRIM(AW4))&gt;0</formula>
    </cfRule>
  </conditionalFormatting>
  <conditionalFormatting sqref="BC4:BC46">
    <cfRule type="cellIs" dxfId="236" priority="75" operator="greaterThan">
      <formula>$AU$3+$AU$4-1</formula>
    </cfRule>
  </conditionalFormatting>
  <conditionalFormatting sqref="BO4:BP4">
    <cfRule type="expression" dxfId="235" priority="236">
      <formula>BO4+BM4&gt;BK4</formula>
    </cfRule>
    <cfRule type="expression" dxfId="234" priority="237">
      <formula>BO4+BM4&gt;$AU$3+$AU$4-1</formula>
    </cfRule>
  </conditionalFormatting>
  <conditionalFormatting sqref="BO5:BP5">
    <cfRule type="expression" dxfId="233" priority="234">
      <formula>BO5+BM5&gt;$AU$3+$AU$4-1</formula>
    </cfRule>
    <cfRule type="expression" dxfId="232" priority="235">
      <formula>BO5+BM5&gt;BK5</formula>
    </cfRule>
  </conditionalFormatting>
  <conditionalFormatting sqref="BO6:BP6">
    <cfRule type="expression" dxfId="231" priority="232">
      <formula>BO6+BM6&gt;$AU$3+$AU$4-1</formula>
    </cfRule>
    <cfRule type="expression" dxfId="230" priority="233">
      <formula>BO6+BM6&gt;BK6</formula>
    </cfRule>
  </conditionalFormatting>
  <conditionalFormatting sqref="BO7:BP7">
    <cfRule type="expression" dxfId="229" priority="230">
      <formula>BO7+BM7&gt;$AU$3+$AU$4-1</formula>
    </cfRule>
    <cfRule type="expression" dxfId="228" priority="231">
      <formula>BO7+BM7&gt;BK7</formula>
    </cfRule>
  </conditionalFormatting>
  <conditionalFormatting sqref="BO8:BP8">
    <cfRule type="expression" dxfId="227" priority="228">
      <formula>BO8+BM8&gt;$AU$3+$AU$4-1</formula>
    </cfRule>
    <cfRule type="expression" dxfId="226" priority="229">
      <formula>BO8+BM8&gt;BK8</formula>
    </cfRule>
  </conditionalFormatting>
  <conditionalFormatting sqref="BO9:BP9">
    <cfRule type="expression" dxfId="225" priority="226">
      <formula>BO9+BM9&gt;$AU$3+$AU$4-1</formula>
    </cfRule>
    <cfRule type="expression" dxfId="224" priority="227">
      <formula>BO9+BM9&gt;BK9</formula>
    </cfRule>
  </conditionalFormatting>
  <conditionalFormatting sqref="BO10:BP10">
    <cfRule type="expression" dxfId="223" priority="224">
      <formula>BO10+BM10&gt;$AU$3+$AU$4-1</formula>
    </cfRule>
    <cfRule type="expression" dxfId="222" priority="225">
      <formula>BO10+BM10&gt;BK10</formula>
    </cfRule>
  </conditionalFormatting>
  <conditionalFormatting sqref="BO11:BP11">
    <cfRule type="expression" dxfId="221" priority="222">
      <formula>BO11+BM11&gt;$AU$3+$AU$4-1</formula>
    </cfRule>
    <cfRule type="expression" dxfId="220" priority="223">
      <formula>BO11+BM11&gt;BK11</formula>
    </cfRule>
  </conditionalFormatting>
  <conditionalFormatting sqref="BO12:BP12">
    <cfRule type="expression" dxfId="219" priority="220">
      <formula>BO12+BM12&gt;$AU$3+$AU$4-1</formula>
    </cfRule>
    <cfRule type="expression" dxfId="218" priority="221">
      <formula>BO12+BM12&gt;BK12</formula>
    </cfRule>
  </conditionalFormatting>
  <conditionalFormatting sqref="I19:L21 I25:L27 I31:L33 S30:T33 W30:X30 AU4:AV4 AN6:AS33 AW4:BC46 BQ4:BR4 BN21:BO21 BN32:BO39 AF4:AG4">
    <cfRule type="expression" dxfId="217" priority="239">
      <formula>$M$1="Spend Bonus Points"</formula>
    </cfRule>
  </conditionalFormatting>
  <conditionalFormatting sqref="G31:H33">
    <cfRule type="expression" dxfId="216" priority="204">
      <formula>$E$35&lt;0</formula>
    </cfRule>
    <cfRule type="expression" dxfId="215" priority="211">
      <formula>NOT($M$1="Select Mental Attributes")</formula>
    </cfRule>
    <cfRule type="expression" dxfId="214" priority="219">
      <formula>$M$1="Select Mental Attributes"</formula>
    </cfRule>
  </conditionalFormatting>
  <conditionalFormatting sqref="G25:H27">
    <cfRule type="expression" dxfId="213" priority="201">
      <formula>$E$29&lt;0</formula>
    </cfRule>
    <cfRule type="expression" dxfId="212" priority="208">
      <formula>NOT($M$1="Select Social Attributes")</formula>
    </cfRule>
    <cfRule type="expression" dxfId="211" priority="218">
      <formula>$M$1="Select Social Attributes"</formula>
    </cfRule>
  </conditionalFormatting>
  <conditionalFormatting sqref="G19:H21">
    <cfRule type="expression" dxfId="210" priority="198">
      <formula>$E$23&lt;0</formula>
    </cfRule>
    <cfRule type="expression" dxfId="209" priority="205">
      <formula>NOT($M$1="Select Physical Attributes")</formula>
    </cfRule>
    <cfRule type="expression" dxfId="208" priority="217">
      <formula>$M$1="Select Physical Attributes"</formula>
    </cfRule>
  </conditionalFormatting>
  <conditionalFormatting sqref="G31:H31">
    <cfRule type="expression" dxfId="207" priority="203">
      <formula>OR(AND($AU$3+$AU$4&lt;6,$E$31+$G$31&gt;5),AND($AU$3+$AU$4&lt;5,$E$31+$G$31&gt;$AU$3+$AU$4))</formula>
    </cfRule>
    <cfRule type="expression" dxfId="206" priority="216">
      <formula>OR(AND($AU$3+$AU$4&lt;6,$E$31+$G$31=5),AND($AU$3+$AU$4&lt;5,$E$31+$G$31=$AU$3+$AU$4))</formula>
    </cfRule>
  </conditionalFormatting>
  <conditionalFormatting sqref="G32:H32">
    <cfRule type="expression" dxfId="205" priority="202">
      <formula>OR(AND($AU$3+$AU$4&lt;6,$E$32+$G$32&gt;5),AND($AU$3+$AU$4&lt;5,$E$32+$G$32&gt;$AU$3+$AU$4))</formula>
    </cfRule>
    <cfRule type="expression" dxfId="204" priority="212">
      <formula>OR(AND($AU$3+$AU$4&lt;6,$E$32+$G$32=5),AND($AU$3+$AU$4&lt;5,$E$32+$G$32=$AU$3+$AU$4))</formula>
    </cfRule>
  </conditionalFormatting>
  <conditionalFormatting sqref="G33:H33">
    <cfRule type="expression" dxfId="203" priority="195">
      <formula>OR(AND($AU$3+$AU$4&lt;6,$E$33+$G$33&gt;5),AND($AU$3+$AU$4&lt;5,$E$33+$G$33&gt;$AU$3+$AU$4))</formula>
    </cfRule>
    <cfRule type="expression" dxfId="202" priority="213">
      <formula>OR(AND($AU$3+$AU$4&lt;6,$E$33+$G$33=5),AND($AU$3+$AU$4&lt;5,$E$33+$G$33=$AU$3+$AU$4))</formula>
    </cfRule>
  </conditionalFormatting>
  <conditionalFormatting sqref="G27:H27">
    <cfRule type="expression" dxfId="201" priority="200">
      <formula>OR(AND($AU$3+$AU$4&lt;6,$E$27+$G$27&gt;5),AND($AU$3+$AU$4&lt;5,$E$27+$G$27&gt;$AU$3+$AU$4))</formula>
    </cfRule>
    <cfRule type="expression" dxfId="200" priority="215">
      <formula>OR(AND($AU$3+$AU$4&lt;6,$E$27+$G$27=5),AND($AU$3+$AU$4&lt;5,$E$27+$G$27=$AU$3+$AU$4))</formula>
    </cfRule>
  </conditionalFormatting>
  <conditionalFormatting sqref="G26:H26">
    <cfRule type="expression" dxfId="199" priority="199">
      <formula>OR(AND($AU$3+$AU$4&lt;6,$E$26+$G$26&gt;5),AND($AU$3+$AU$4&lt;5,$E$26+$G$26&gt;$AU$3+$AU$4))</formula>
    </cfRule>
    <cfRule type="expression" dxfId="198" priority="210">
      <formula>OR(AND($AU$3+$AU$4&lt;6,$E$26+$G$26=5),AND($AU$3+$AU$4&lt;5,$E$26+$G$26=$AU$3+$AU$4))</formula>
    </cfRule>
  </conditionalFormatting>
  <conditionalFormatting sqref="G25:H25">
    <cfRule type="expression" dxfId="197" priority="194">
      <formula>OR(AND($AU$3+$AU$4&lt;6,$E$25+$G$25&gt;5),AND($AU$3+$AU$4&lt;5,$E$25+$G$25&gt;$AU$3+$AU$4))</formula>
    </cfRule>
    <cfRule type="expression" dxfId="196" priority="209">
      <formula>OR(AND($AU$3+$AU$4&lt;6,$E$25+$G$25=5),AND($AU$3+$AU$4&lt;5,$E$25+$G$25=$AU$3+$AU$4))</formula>
    </cfRule>
  </conditionalFormatting>
  <conditionalFormatting sqref="G21:H21">
    <cfRule type="expression" dxfId="195" priority="193">
      <formula>OR(AND($AU$3+$AU$4&lt;6,$E$21+$G$21&gt;5),AND($AU$3+$AU$4&lt;5,$E$21+$G$21&gt;$AU$3+$AU$4))</formula>
    </cfRule>
    <cfRule type="expression" dxfId="194" priority="214">
      <formula>OR(AND($AU$3+$AU$4&lt;6,$E$21+$G$21=5),AND($AU$3+$AU$4&lt;5,$E$21+$G$21=$AU$3+$AU$4))</formula>
    </cfRule>
  </conditionalFormatting>
  <conditionalFormatting sqref="G20:H20">
    <cfRule type="expression" dxfId="193" priority="196">
      <formula>OR(AND($AU$3+$AU$4&lt;6,$E$20+$G$20&gt;5),AND($AU$3+$AU$4&lt;5,$E$20+$G$20&gt;$AU$3+$AU$4))</formula>
    </cfRule>
    <cfRule type="expression" dxfId="192" priority="207">
      <formula>OR(AND($AU$3+$AU$4&lt;6,$E$20+$G$20=5),AND($AU$3+$AU$4&lt;5,$E$20+$G$20=$AU$3+$AU$4))</formula>
    </cfRule>
  </conditionalFormatting>
  <conditionalFormatting sqref="G19:H19">
    <cfRule type="expression" dxfId="191" priority="197">
      <formula>OR(AND($AU$3+$AU$4&lt;6,$E$19+$G$19&gt;5),AND($AU$3+$AU$4&lt;5,$E$19+$G$19&gt;$AU$3+$AU$4))</formula>
    </cfRule>
    <cfRule type="expression" dxfId="190" priority="206">
      <formula>OR(AND($AU$3+$AU$4&lt;6,$E$19+$G$19=5),AND($AU$3+$AU$4&lt;5,$E$19+$G$19=$AU$3+$AU$4))</formula>
    </cfRule>
  </conditionalFormatting>
  <conditionalFormatting sqref="I19:L19">
    <cfRule type="expression" dxfId="189" priority="175">
      <formula>OR(AND($AU$3+$AU$4&lt;6,$I$19+$G$19+$E$19&gt;5),AND($AU$3+$AU$4&gt;5,$I$19+$G$19+$E$19&gt;$AU$3+$AU$4))</formula>
    </cfRule>
    <cfRule type="expression" dxfId="188" priority="192">
      <formula>OR(AND($AU$3+$AU$4&lt;6,$I$19+$G$19+$E$19=5),AND($AU$3+$AU$4&gt;5,$I$19+$G$19+$E$19=$AU$3+$AU$4))</formula>
    </cfRule>
  </conditionalFormatting>
  <conditionalFormatting sqref="I20:L20">
    <cfRule type="expression" dxfId="187" priority="176">
      <formula>OR(AND($AU$3+$AU$4&lt;6,$I$20+$G$20+$E$20&gt;5),AND($AU$3+$AU$4&gt;5,$I$20+$G$20+$E$20&gt;$AU$3+$AU$4))</formula>
    </cfRule>
    <cfRule type="expression" dxfId="186" priority="191">
      <formula>OR(AND($AU$3+$AU$4&lt;6,$I$20+$G$20+$E$20=5),AND($AU$3+$AU$4&gt;5,$I$20+$G$20+$E$20=$AU$3+$AU$4))</formula>
    </cfRule>
  </conditionalFormatting>
  <conditionalFormatting sqref="I21:L21">
    <cfRule type="expression" dxfId="185" priority="177">
      <formula>OR(AND($AU$3+$AU$4&lt;6,$I$21+$G$21+$E$21&gt;5),AND($AU$3+$AU$4&gt;5,$I$21+$G$21+$E$21&gt;$AU$3+$AU$4))</formula>
    </cfRule>
    <cfRule type="expression" dxfId="184" priority="190">
      <formula>OR(AND($AU$3+$AU$4&lt;6,$I$21+$G$21+$E$21=5),AND($AU$3+$AU$4&gt;5,$I$21+$G$21+$E$21=$AU$3+$AU$4))</formula>
    </cfRule>
  </conditionalFormatting>
  <conditionalFormatting sqref="I25:L25">
    <cfRule type="expression" dxfId="183" priority="178">
      <formula>OR(AND($AU$3+$AU$4&lt;6,$I$25+$G$25+$E$25&gt;5),AND($AU$3+$AU$4&gt;5,$I$25+$G$25+$E$25&gt;$AU$3+$AU$4))</formula>
    </cfRule>
    <cfRule type="expression" dxfId="182" priority="189">
      <formula>OR(AND($AU$3+$AU$4&lt;6,$I$25+$G$25+$E$25=5),AND($AU$3+$AU$4&gt;5,$I$25+$G$25+$E$25=$AU$3+$AU$4))</formula>
    </cfRule>
  </conditionalFormatting>
  <conditionalFormatting sqref="I26:L26">
    <cfRule type="expression" dxfId="181" priority="179">
      <formula>OR(AND($AU$3+$AU$4&lt;6,$I$26+$G$26+$E$26&gt;5),AND($AU$3+$AU$4&gt;5,$I$26+$G$26+$E$26&gt;$AU$3+$AU$4))</formula>
    </cfRule>
    <cfRule type="expression" dxfId="180" priority="188">
      <formula>OR(AND($AU$3+$AU$4&lt;6,$I$26+$G$26+$E$26=5),AND($AU$3+$AU$4&gt;5,$I$26+$G$26+$E$26=$AU$3+$AU$4))</formula>
    </cfRule>
  </conditionalFormatting>
  <conditionalFormatting sqref="I27:L27">
    <cfRule type="expression" dxfId="179" priority="180">
      <formula>OR(AND($AU$3+$AU$4&lt;6,$I$27+$G$27+$E$27&gt;5),AND($AU$3+$AU$4&gt;5,$I$27+$G$27+$E$27&gt;$AU$3+$AU$4))</formula>
    </cfRule>
    <cfRule type="expression" dxfId="178" priority="187">
      <formula>OR(AND($AU$3+$AU$4&lt;6,$I$27+$G$27+$E$27=5),AND($AU$3+$AU$4&gt;5,$I$27+$G$27+$E$27=$AU$3+$AU$4))</formula>
    </cfRule>
  </conditionalFormatting>
  <conditionalFormatting sqref="I31:L31">
    <cfRule type="expression" dxfId="177" priority="181">
      <formula>OR(AND($AU$3+$AU$4&lt;6,$I$31+$G$31+$E$31&gt;5),AND($AU$3+$AU$4&gt;5,$I$31+$G$31+$E$31&gt;$AU$3+$AU$4))</formula>
    </cfRule>
    <cfRule type="expression" dxfId="176" priority="186">
      <formula>OR(AND($AU$3+$AU$4&lt;6,$I$31+$G$31+$E$31=5),AND($AU$3+$AU$4&gt;5,$I$31+$G$31+$E$31=$AU$3+$AU$4))</formula>
    </cfRule>
  </conditionalFormatting>
  <conditionalFormatting sqref="I32:L32">
    <cfRule type="expression" dxfId="175" priority="182">
      <formula>OR(AND($AU$3+$AU$4&lt;6,$I$32+$G$32+$E$32&gt;5),AND($AU$3+$AU$4&gt;5,$I$32+$G$32+$E$32&gt;$AU$3+$AU$4))</formula>
    </cfRule>
    <cfRule type="expression" dxfId="174" priority="185">
      <formula>OR(AND($AU$3+$AU$4&lt;6,$I$32+$G$32+$E$32=5),AND($AU$3+$AU$4&gt;5,$I$32+$G$32+$E$32=$AU$3+$AU$4))</formula>
    </cfRule>
  </conditionalFormatting>
  <conditionalFormatting sqref="I33:L33">
    <cfRule type="expression" dxfId="173" priority="183">
      <formula>OR(AND($AU$3+$AU$4&lt;6,$I$33+$G$33+$E$33&gt;5),AND($AU$3+$AU$4&gt;5,$I$33+$G$33+$E$33&gt;$AU$3+$AU$4))</formula>
    </cfRule>
    <cfRule type="expression" dxfId="172" priority="184">
      <formula>OR(AND($AU$3+$AU$4&lt;6,$I$33+$G$33+$E$33=5),AND($AU$3+$AU$4&gt;5,$I$33+$G$33+$E$33=$AU$3+$AU$4))</formula>
    </cfRule>
  </conditionalFormatting>
  <conditionalFormatting sqref="S30:T30">
    <cfRule type="expression" dxfId="171" priority="173">
      <formula>$S$30+$Q$30&gt;5</formula>
    </cfRule>
    <cfRule type="expression" dxfId="170" priority="174">
      <formula>$S$30+$Q$30=5</formula>
    </cfRule>
  </conditionalFormatting>
  <conditionalFormatting sqref="S31:T31">
    <cfRule type="expression" dxfId="169" priority="171">
      <formula>$S$31+$Q$31&gt;5</formula>
    </cfRule>
    <cfRule type="expression" dxfId="168" priority="172">
      <formula>$S$31+$Q$31=5</formula>
    </cfRule>
  </conditionalFormatting>
  <conditionalFormatting sqref="S32:T32">
    <cfRule type="expression" dxfId="167" priority="169">
      <formula>$S$32+$Q$32&gt;5</formula>
    </cfRule>
    <cfRule type="expression" dxfId="166" priority="170">
      <formula>$S$32+$Q$32=5</formula>
    </cfRule>
  </conditionalFormatting>
  <conditionalFormatting sqref="S33:T33">
    <cfRule type="expression" dxfId="165" priority="167">
      <formula>$S$33+$Q$33&gt;5</formula>
    </cfRule>
    <cfRule type="expression" dxfId="164" priority="168">
      <formula>$S$33+$Q$33=5</formula>
    </cfRule>
  </conditionalFormatting>
  <conditionalFormatting sqref="AF4:AG4">
    <cfRule type="expression" dxfId="163" priority="165">
      <formula>$AF$4+$AC$4&gt;5</formula>
    </cfRule>
    <cfRule type="expression" dxfId="162" priority="166">
      <formula>AC4+AF4=5</formula>
    </cfRule>
  </conditionalFormatting>
  <conditionalFormatting sqref="AF5:AG5">
    <cfRule type="expression" dxfId="161" priority="164">
      <formula>$M$1="Spend Bonus Points"</formula>
    </cfRule>
  </conditionalFormatting>
  <conditionalFormatting sqref="AF5:AG5">
    <cfRule type="expression" dxfId="160" priority="162">
      <formula>$AF$4+$AC$4&gt;5</formula>
    </cfRule>
    <cfRule type="expression" dxfId="159" priority="163">
      <formula>AC5+AF5=5</formula>
    </cfRule>
  </conditionalFormatting>
  <conditionalFormatting sqref="AF6:AG6">
    <cfRule type="expression" dxfId="158" priority="161">
      <formula>$M$1="Spend Bonus Points"</formula>
    </cfRule>
  </conditionalFormatting>
  <conditionalFormatting sqref="AF6:AG6">
    <cfRule type="expression" dxfId="157" priority="159">
      <formula>$AF$4+$AC$4&gt;5</formula>
    </cfRule>
    <cfRule type="expression" dxfId="156" priority="160">
      <formula>AC6+AF6=5</formula>
    </cfRule>
  </conditionalFormatting>
  <conditionalFormatting sqref="AF7:AG7">
    <cfRule type="expression" dxfId="155" priority="158">
      <formula>$M$1="Spend Bonus Points"</formula>
    </cfRule>
  </conditionalFormatting>
  <conditionalFormatting sqref="AF7:AG7">
    <cfRule type="expression" dxfId="154" priority="156">
      <formula>$AF$4+$AC$4&gt;5</formula>
    </cfRule>
    <cfRule type="expression" dxfId="153" priority="157">
      <formula>AC7+AF7=5</formula>
    </cfRule>
  </conditionalFormatting>
  <conditionalFormatting sqref="AF8:AG8">
    <cfRule type="expression" dxfId="152" priority="155">
      <formula>$M$1="Spend Bonus Points"</formula>
    </cfRule>
  </conditionalFormatting>
  <conditionalFormatting sqref="AF8:AG8">
    <cfRule type="expression" dxfId="151" priority="153">
      <formula>$AF$4+$AC$4&gt;5</formula>
    </cfRule>
    <cfRule type="expression" dxfId="150" priority="154">
      <formula>AC8+AF8=5</formula>
    </cfRule>
  </conditionalFormatting>
  <conditionalFormatting sqref="AF9:AG9">
    <cfRule type="expression" dxfId="149" priority="152">
      <formula>$M$1="Spend Bonus Points"</formula>
    </cfRule>
  </conditionalFormatting>
  <conditionalFormatting sqref="AF9:AG9">
    <cfRule type="expression" dxfId="148" priority="150">
      <formula>$AF$4+$AC$4&gt;5</formula>
    </cfRule>
    <cfRule type="expression" dxfId="147" priority="151">
      <formula>AC9+AF9=5</formula>
    </cfRule>
  </conditionalFormatting>
  <conditionalFormatting sqref="AF10:AG10">
    <cfRule type="expression" dxfId="146" priority="149">
      <formula>$M$1="Spend Bonus Points"</formula>
    </cfRule>
  </conditionalFormatting>
  <conditionalFormatting sqref="AF10:AG10">
    <cfRule type="expression" dxfId="145" priority="147">
      <formula>$AF$4+$AC$4&gt;5</formula>
    </cfRule>
    <cfRule type="expression" dxfId="144" priority="148">
      <formula>AC10+AF10=5</formula>
    </cfRule>
  </conditionalFormatting>
  <conditionalFormatting sqref="AF11:AG11">
    <cfRule type="expression" dxfId="143" priority="146">
      <formula>$M$1="Spend Bonus Points"</formula>
    </cfRule>
  </conditionalFormatting>
  <conditionalFormatting sqref="AF11:AG11">
    <cfRule type="expression" dxfId="142" priority="144">
      <formula>$AF$4+$AC$4&gt;5</formula>
    </cfRule>
    <cfRule type="expression" dxfId="141" priority="145">
      <formula>AC11+AF11=5</formula>
    </cfRule>
  </conditionalFormatting>
  <conditionalFormatting sqref="AF12:AG12">
    <cfRule type="expression" dxfId="140" priority="143">
      <formula>$M$1="Spend Bonus Points"</formula>
    </cfRule>
  </conditionalFormatting>
  <conditionalFormatting sqref="AF12:AG12">
    <cfRule type="expression" dxfId="139" priority="141">
      <formula>$AF$4+$AC$4&gt;5</formula>
    </cfRule>
    <cfRule type="expression" dxfId="138" priority="142">
      <formula>AC12+AF12=5</formula>
    </cfRule>
  </conditionalFormatting>
  <conditionalFormatting sqref="AF13:AG13">
    <cfRule type="expression" dxfId="137" priority="140">
      <formula>$M$1="Spend Bonus Points"</formula>
    </cfRule>
  </conditionalFormatting>
  <conditionalFormatting sqref="AF13:AG13">
    <cfRule type="expression" dxfId="136" priority="138">
      <formula>$AF$4+$AC$4&gt;5</formula>
    </cfRule>
    <cfRule type="expression" dxfId="135" priority="139">
      <formula>AC13+AF13=5</formula>
    </cfRule>
  </conditionalFormatting>
  <conditionalFormatting sqref="AF14:AG14">
    <cfRule type="expression" dxfId="134" priority="137">
      <formula>$M$1="Spend Bonus Points"</formula>
    </cfRule>
  </conditionalFormatting>
  <conditionalFormatting sqref="AF14:AG14">
    <cfRule type="expression" dxfId="133" priority="135">
      <formula>$AF$4+$AC$4&gt;5</formula>
    </cfRule>
    <cfRule type="expression" dxfId="132" priority="136">
      <formula>AC14+AF14=5</formula>
    </cfRule>
  </conditionalFormatting>
  <conditionalFormatting sqref="AF15:AG15">
    <cfRule type="expression" dxfId="131" priority="134">
      <formula>$M$1="Spend Bonus Points"</formula>
    </cfRule>
  </conditionalFormatting>
  <conditionalFormatting sqref="AF15:AG15">
    <cfRule type="expression" dxfId="130" priority="132">
      <formula>$AF$4+$AC$4&gt;5</formula>
    </cfRule>
    <cfRule type="expression" dxfId="129" priority="133">
      <formula>AC15+AF15=5</formula>
    </cfRule>
  </conditionalFormatting>
  <conditionalFormatting sqref="AF16:AG16">
    <cfRule type="expression" dxfId="128" priority="131">
      <formula>$M$1="Spend Bonus Points"</formula>
    </cfRule>
  </conditionalFormatting>
  <conditionalFormatting sqref="AF16:AG16">
    <cfRule type="expression" dxfId="127" priority="129">
      <formula>$AF$4+$AC$4&gt;5</formula>
    </cfRule>
    <cfRule type="expression" dxfId="126" priority="130">
      <formula>AC16+AF16=5</formula>
    </cfRule>
  </conditionalFormatting>
  <conditionalFormatting sqref="AF17:AG17">
    <cfRule type="expression" dxfId="125" priority="128">
      <formula>$M$1="Spend Bonus Points"</formula>
    </cfRule>
  </conditionalFormatting>
  <conditionalFormatting sqref="AF17:AG17">
    <cfRule type="expression" dxfId="124" priority="126">
      <formula>$AF$4+$AC$4&gt;5</formula>
    </cfRule>
    <cfRule type="expression" dxfId="123" priority="127">
      <formula>AC17+AF17=5</formula>
    </cfRule>
  </conditionalFormatting>
  <conditionalFormatting sqref="AF18:AG18">
    <cfRule type="expression" dxfId="122" priority="125">
      <formula>$M$1="Spend Bonus Points"</formula>
    </cfRule>
  </conditionalFormatting>
  <conditionalFormatting sqref="AF18:AG18">
    <cfRule type="expression" dxfId="121" priority="123">
      <formula>$AF$4+$AC$4&gt;5</formula>
    </cfRule>
    <cfRule type="expression" dxfId="120" priority="124">
      <formula>AC18+AF18=5</formula>
    </cfRule>
  </conditionalFormatting>
  <conditionalFormatting sqref="AF19:AG19">
    <cfRule type="expression" dxfId="119" priority="122">
      <formula>$M$1="Spend Bonus Points"</formula>
    </cfRule>
  </conditionalFormatting>
  <conditionalFormatting sqref="AF19:AG19">
    <cfRule type="expression" dxfId="118" priority="120">
      <formula>$AF$4+$AC$4&gt;5</formula>
    </cfRule>
    <cfRule type="expression" dxfId="117" priority="121">
      <formula>AC19+AF19=5</formula>
    </cfRule>
  </conditionalFormatting>
  <conditionalFormatting sqref="AF20:AG20">
    <cfRule type="expression" dxfId="116" priority="119">
      <formula>$M$1="Spend Bonus Points"</formula>
    </cfRule>
  </conditionalFormatting>
  <conditionalFormatting sqref="AF20:AG20">
    <cfRule type="expression" dxfId="115" priority="117">
      <formula>$AF$4+$AC$4&gt;5</formula>
    </cfRule>
    <cfRule type="expression" dxfId="114" priority="118">
      <formula>AC20+AF20=5</formula>
    </cfRule>
  </conditionalFormatting>
  <conditionalFormatting sqref="AF21:AG21">
    <cfRule type="expression" dxfId="113" priority="116">
      <formula>$M$1="Spend Bonus Points"</formula>
    </cfRule>
  </conditionalFormatting>
  <conditionalFormatting sqref="AF21:AG21">
    <cfRule type="expression" dxfId="112" priority="114">
      <formula>$AF$4+$AC$4&gt;5</formula>
    </cfRule>
    <cfRule type="expression" dxfId="111" priority="115">
      <formula>AC21+AF21=5</formula>
    </cfRule>
  </conditionalFormatting>
  <conditionalFormatting sqref="AF22:AG22">
    <cfRule type="expression" dxfId="110" priority="113">
      <formula>$M$1="Spend Bonus Points"</formula>
    </cfRule>
  </conditionalFormatting>
  <conditionalFormatting sqref="AF22:AG22">
    <cfRule type="expression" dxfId="109" priority="111">
      <formula>$AF$4+$AC$4&gt;5</formula>
    </cfRule>
    <cfRule type="expression" dxfId="108" priority="112">
      <formula>AC22+AF22=5</formula>
    </cfRule>
  </conditionalFormatting>
  <conditionalFormatting sqref="AF23:AG23">
    <cfRule type="expression" dxfId="107" priority="110">
      <formula>$M$1="Spend Bonus Points"</formula>
    </cfRule>
  </conditionalFormatting>
  <conditionalFormatting sqref="AF23:AG23">
    <cfRule type="expression" dxfId="106" priority="108">
      <formula>$AF$4+$AC$4&gt;5</formula>
    </cfRule>
    <cfRule type="expression" dxfId="105" priority="109">
      <formula>AC23+AF23=5</formula>
    </cfRule>
  </conditionalFormatting>
  <conditionalFormatting sqref="AF24:AG24">
    <cfRule type="expression" dxfId="104" priority="107">
      <formula>$M$1="Spend Bonus Points"</formula>
    </cfRule>
  </conditionalFormatting>
  <conditionalFormatting sqref="AF24:AG24">
    <cfRule type="expression" dxfId="103" priority="105">
      <formula>$AF$4+$AC$4&gt;5</formula>
    </cfRule>
    <cfRule type="expression" dxfId="102" priority="106">
      <formula>AC24+AF24=5</formula>
    </cfRule>
  </conditionalFormatting>
  <conditionalFormatting sqref="AF25:AG25">
    <cfRule type="expression" dxfId="101" priority="104">
      <formula>$M$1="Spend Bonus Points"</formula>
    </cfRule>
  </conditionalFormatting>
  <conditionalFormatting sqref="AF25:AG25">
    <cfRule type="expression" dxfId="100" priority="102">
      <formula>$AF$4+$AC$4&gt;5</formula>
    </cfRule>
    <cfRule type="expression" dxfId="99" priority="103">
      <formula>AC25+AF25=5</formula>
    </cfRule>
  </conditionalFormatting>
  <conditionalFormatting sqref="AF26:AG26">
    <cfRule type="expression" dxfId="98" priority="101">
      <formula>$M$1="Spend Bonus Points"</formula>
    </cfRule>
  </conditionalFormatting>
  <conditionalFormatting sqref="AF26:AG26">
    <cfRule type="expression" dxfId="97" priority="99">
      <formula>$AF$4+$AC$4&gt;5</formula>
    </cfRule>
    <cfRule type="expression" dxfId="96" priority="100">
      <formula>AC26+AF26=5</formula>
    </cfRule>
  </conditionalFormatting>
  <conditionalFormatting sqref="AF27:AG27">
    <cfRule type="expression" dxfId="95" priority="98">
      <formula>$M$1="Spend Bonus Points"</formula>
    </cfRule>
  </conditionalFormatting>
  <conditionalFormatting sqref="AF27:AG27">
    <cfRule type="expression" dxfId="94" priority="96">
      <formula>$AF$4+$AC$4&gt;5</formula>
    </cfRule>
    <cfRule type="expression" dxfId="93" priority="97">
      <formula>AC27+AF27=5</formula>
    </cfRule>
  </conditionalFormatting>
  <conditionalFormatting sqref="AF28:AG28">
    <cfRule type="expression" dxfId="92" priority="95">
      <formula>$M$1="Spend Bonus Points"</formula>
    </cfRule>
  </conditionalFormatting>
  <conditionalFormatting sqref="AF28:AG28">
    <cfRule type="expression" dxfId="91" priority="93">
      <formula>$AF$4+$AC$4&gt;5</formula>
    </cfRule>
    <cfRule type="expression" dxfId="90" priority="94">
      <formula>AC28+AF28=5</formula>
    </cfRule>
  </conditionalFormatting>
  <conditionalFormatting sqref="AF29:AG29">
    <cfRule type="expression" dxfId="89" priority="92">
      <formula>$M$1="Spend Bonus Points"</formula>
    </cfRule>
  </conditionalFormatting>
  <conditionalFormatting sqref="AF29:AG29">
    <cfRule type="expression" dxfId="88" priority="90">
      <formula>$AF$4+$AC$4&gt;5</formula>
    </cfRule>
    <cfRule type="expression" dxfId="87" priority="91">
      <formula>AC29+AF29=5</formula>
    </cfRule>
  </conditionalFormatting>
  <conditionalFormatting sqref="AF30:AG30">
    <cfRule type="expression" dxfId="86" priority="89">
      <formula>$M$1="Spend Bonus Points"</formula>
    </cfRule>
  </conditionalFormatting>
  <conditionalFormatting sqref="AF30:AG30">
    <cfRule type="expression" dxfId="85" priority="87">
      <formula>$AF$4+$AC$4&gt;5</formula>
    </cfRule>
    <cfRule type="expression" dxfId="84" priority="88">
      <formula>AC30+AF30=5</formula>
    </cfRule>
  </conditionalFormatting>
  <conditionalFormatting sqref="AF31:AG31">
    <cfRule type="expression" dxfId="83" priority="86">
      <formula>$M$1="Spend Bonus Points"</formula>
    </cfRule>
  </conditionalFormatting>
  <conditionalFormatting sqref="AF31:AG31">
    <cfRule type="expression" dxfId="82" priority="84">
      <formula>$AF$4+$AC$4&gt;5</formula>
    </cfRule>
    <cfRule type="expression" dxfId="81" priority="85">
      <formula>AC31+AF31=5</formula>
    </cfRule>
  </conditionalFormatting>
  <conditionalFormatting sqref="AF32:AG32">
    <cfRule type="expression" dxfId="80" priority="83">
      <formula>$M$1="Spend Bonus Points"</formula>
    </cfRule>
  </conditionalFormatting>
  <conditionalFormatting sqref="AF32:AG32">
    <cfRule type="expression" dxfId="79" priority="81">
      <formula>$AF$4+$AC$4&gt;5</formula>
    </cfRule>
    <cfRule type="expression" dxfId="78" priority="82">
      <formula>AC32+AF32=5</formula>
    </cfRule>
  </conditionalFormatting>
  <conditionalFormatting sqref="AF33:AG33">
    <cfRule type="expression" dxfId="77" priority="80">
      <formula>$M$1="Spend Bonus Points"</formula>
    </cfRule>
  </conditionalFormatting>
  <conditionalFormatting sqref="AF33:AG33">
    <cfRule type="expression" dxfId="76" priority="78">
      <formula>$AF$4+$AC$4&gt;5</formula>
    </cfRule>
    <cfRule type="expression" dxfId="75" priority="79">
      <formula>AC33+AF33=5</formula>
    </cfRule>
  </conditionalFormatting>
  <conditionalFormatting sqref="AN6:AS33">
    <cfRule type="notContainsBlanks" dxfId="74" priority="77">
      <formula>LEN(TRIM(AN6))&gt;0</formula>
    </cfRule>
  </conditionalFormatting>
  <conditionalFormatting sqref="AU4:AV4">
    <cfRule type="expression" dxfId="73" priority="76">
      <formula>$AU$4+$AU$3&gt;12</formula>
    </cfRule>
  </conditionalFormatting>
  <conditionalFormatting sqref="BQ4:BR4">
    <cfRule type="expression" dxfId="72" priority="72">
      <formula>OR(BQ4+BO4+BM4&gt;$AU$3+AU4-1,BQ4+BM4+BO4&gt;BK4)</formula>
    </cfRule>
    <cfRule type="expression" dxfId="71" priority="73">
      <formula>OR(BQ4+BO4+BM4=$AU$3+AU4-1,BQ4+BM4+BO4=BK4)</formula>
    </cfRule>
  </conditionalFormatting>
  <conditionalFormatting sqref="BQ5:BR5">
    <cfRule type="expression" dxfId="70" priority="71">
      <formula>$M$1="Spend Bonus Points"</formula>
    </cfRule>
  </conditionalFormatting>
  <conditionalFormatting sqref="BQ5:BR5">
    <cfRule type="expression" dxfId="69" priority="69">
      <formula>OR(BQ5+BO5+BM5&gt;$AU$3+AU5-1,BQ5+BM5+BO5&gt;BK5)</formula>
    </cfRule>
    <cfRule type="expression" dxfId="68" priority="70">
      <formula>OR(BQ5+BO5+BM5=$AU$3+AU5-1,BQ5+BM5+BO5=BK5)</formula>
    </cfRule>
  </conditionalFormatting>
  <conditionalFormatting sqref="BQ6:BR6">
    <cfRule type="expression" dxfId="67" priority="68">
      <formula>$M$1="Spend Bonus Points"</formula>
    </cfRule>
  </conditionalFormatting>
  <conditionalFormatting sqref="BQ6:BR6">
    <cfRule type="expression" dxfId="66" priority="66">
      <formula>OR(BQ6+BO6+BM6&gt;$AU$3+AU6-1,BQ6+BM6+BO6&gt;BK6)</formula>
    </cfRule>
    <cfRule type="expression" dxfId="65" priority="67">
      <formula>OR(BQ6+BO6+BM6=$AU$3+AU6-1,BQ6+BM6+BO6=BK6)</formula>
    </cfRule>
  </conditionalFormatting>
  <conditionalFormatting sqref="BQ7:BR7">
    <cfRule type="expression" dxfId="64" priority="65">
      <formula>$M$1="Spend Bonus Points"</formula>
    </cfRule>
  </conditionalFormatting>
  <conditionalFormatting sqref="BQ7:BR7">
    <cfRule type="expression" dxfId="63" priority="63">
      <formula>OR(BQ7+BO7+BM7&gt;$AU$3+AU7-1,BQ7+BM7+BO7&gt;BK7)</formula>
    </cfRule>
    <cfRule type="expression" dxfId="62" priority="64">
      <formula>OR(BQ7+BO7+BM7=$AU$3+AU7-1,BQ7+BM7+BO7=BK7)</formula>
    </cfRule>
  </conditionalFormatting>
  <conditionalFormatting sqref="BQ8:BR8">
    <cfRule type="expression" dxfId="61" priority="62">
      <formula>$M$1="Spend Bonus Points"</formula>
    </cfRule>
  </conditionalFormatting>
  <conditionalFormatting sqref="BQ8:BR8">
    <cfRule type="expression" dxfId="60" priority="60">
      <formula>OR(BQ8+BO8+BM8&gt;$AU$3+AU8-1,BQ8+BM8+BO8&gt;BK8)</formula>
    </cfRule>
    <cfRule type="expression" dxfId="59" priority="61">
      <formula>OR(BQ8+BO8+BM8=$AU$3+AU8-1,BQ8+BM8+BO8=BK8)</formula>
    </cfRule>
  </conditionalFormatting>
  <conditionalFormatting sqref="BQ9:BR9">
    <cfRule type="expression" dxfId="58" priority="59">
      <formula>$M$1="Spend Bonus Points"</formula>
    </cfRule>
  </conditionalFormatting>
  <conditionalFormatting sqref="BQ9:BR9">
    <cfRule type="expression" dxfId="57" priority="57">
      <formula>OR(BQ9+BO9+BM9&gt;$AU$3+AU9-1,BQ9+BM9+BO9&gt;BK9)</formula>
    </cfRule>
    <cfRule type="expression" dxfId="56" priority="58">
      <formula>OR(BQ9+BO9+BM9=$AU$3+AU9-1,BQ9+BM9+BO9=BK9)</formula>
    </cfRule>
  </conditionalFormatting>
  <conditionalFormatting sqref="BQ10:BR10">
    <cfRule type="expression" dxfId="55" priority="56">
      <formula>$M$1="Spend Bonus Points"</formula>
    </cfRule>
  </conditionalFormatting>
  <conditionalFormatting sqref="BQ10:BR10">
    <cfRule type="expression" dxfId="54" priority="54">
      <formula>OR(BQ10+BO10+BM10&gt;$AU$3+AU10-1,BQ10+BM10+BO10&gt;BK10)</formula>
    </cfRule>
    <cfRule type="expression" dxfId="53" priority="55">
      <formula>OR(BQ10+BO10+BM10=$AU$3+AU10-1,BQ10+BM10+BO10=BK10)</formula>
    </cfRule>
  </conditionalFormatting>
  <conditionalFormatting sqref="BQ11:BR11">
    <cfRule type="expression" dxfId="52" priority="53">
      <formula>$M$1="Spend Bonus Points"</formula>
    </cfRule>
  </conditionalFormatting>
  <conditionalFormatting sqref="BQ11:BR11">
    <cfRule type="expression" dxfId="51" priority="51">
      <formula>OR(BQ11+BO11+BM11&gt;$AU$3+AU11-1,BQ11+BM11+BO11&gt;BK11)</formula>
    </cfRule>
    <cfRule type="expression" dxfId="50" priority="52">
      <formula>OR(BQ11+BO11+BM11=$AU$3+AU11-1,BQ11+BM11+BO11=BK11)</formula>
    </cfRule>
  </conditionalFormatting>
  <conditionalFormatting sqref="BQ12:BR12">
    <cfRule type="expression" dxfId="49" priority="50">
      <formula>$M$1="Spend Bonus Points"</formula>
    </cfRule>
  </conditionalFormatting>
  <conditionalFormatting sqref="BQ12:BR12">
    <cfRule type="expression" dxfId="48" priority="48">
      <formula>OR(BQ12+BO12+BM12&gt;$AU$3+AU12-1,BQ12+BM12+BO12&gt;BK12)</formula>
    </cfRule>
    <cfRule type="expression" dxfId="47" priority="49">
      <formula>OR(BQ12+BO12+BM12=$AU$3+AU12-1,BQ12+BM12+BO12=BK12)</formula>
    </cfRule>
  </conditionalFormatting>
  <conditionalFormatting sqref="BN21">
    <cfRule type="expression" dxfId="46" priority="46">
      <formula>BN21+BM21&gt;3</formula>
    </cfRule>
    <cfRule type="expression" dxfId="45" priority="47">
      <formula>BM21+BN21=3</formula>
    </cfRule>
  </conditionalFormatting>
  <conditionalFormatting sqref="BO21">
    <cfRule type="expression" dxfId="44" priority="44">
      <formula>BM21+BN21+BO21&gt;5</formula>
    </cfRule>
    <cfRule type="expression" dxfId="43" priority="45">
      <formula>BM21+BN21+BO21=5</formula>
    </cfRule>
  </conditionalFormatting>
  <conditionalFormatting sqref="BN22:BO22">
    <cfRule type="expression" dxfId="42" priority="43">
      <formula>$M$1="Spend Bonus Points"</formula>
    </cfRule>
  </conditionalFormatting>
  <conditionalFormatting sqref="BN22">
    <cfRule type="expression" dxfId="41" priority="41">
      <formula>BN22+BM22&gt;3</formula>
    </cfRule>
    <cfRule type="expression" dxfId="40" priority="42">
      <formula>BM22+BN22=3</formula>
    </cfRule>
  </conditionalFormatting>
  <conditionalFormatting sqref="BO22">
    <cfRule type="expression" dxfId="39" priority="39">
      <formula>BM22+BN22+BO22&gt;5</formula>
    </cfRule>
    <cfRule type="expression" dxfId="38" priority="40">
      <formula>BM22+BN22+BO22=5</formula>
    </cfRule>
  </conditionalFormatting>
  <conditionalFormatting sqref="BN23:BO23">
    <cfRule type="expression" dxfId="37" priority="38">
      <formula>$M$1="Spend Bonus Points"</formula>
    </cfRule>
  </conditionalFormatting>
  <conditionalFormatting sqref="BN23">
    <cfRule type="expression" dxfId="36" priority="36">
      <formula>BN23+BM23&gt;3</formula>
    </cfRule>
    <cfRule type="expression" dxfId="35" priority="37">
      <formula>BM23+BN23=3</formula>
    </cfRule>
  </conditionalFormatting>
  <conditionalFormatting sqref="BO23">
    <cfRule type="expression" dxfId="34" priority="34">
      <formula>BM23+BN23+BO23&gt;5</formula>
    </cfRule>
    <cfRule type="expression" dxfId="33" priority="35">
      <formula>BM23+BN23+BO23=5</formula>
    </cfRule>
  </conditionalFormatting>
  <conditionalFormatting sqref="BN24:BO24">
    <cfRule type="expression" dxfId="32" priority="33">
      <formula>$M$1="Spend Bonus Points"</formula>
    </cfRule>
  </conditionalFormatting>
  <conditionalFormatting sqref="BN24">
    <cfRule type="expression" dxfId="31" priority="31">
      <formula>BN24+BM24&gt;3</formula>
    </cfRule>
    <cfRule type="expression" dxfId="30" priority="32">
      <formula>BM24+BN24=3</formula>
    </cfRule>
  </conditionalFormatting>
  <conditionalFormatting sqref="BO24">
    <cfRule type="expression" dxfId="29" priority="29">
      <formula>BM24+BN24+BO24&gt;5</formula>
    </cfRule>
    <cfRule type="expression" dxfId="28" priority="30">
      <formula>BM24+BN24+BO24=5</formula>
    </cfRule>
  </conditionalFormatting>
  <conditionalFormatting sqref="BN25:BO25">
    <cfRule type="expression" dxfId="27" priority="28">
      <formula>$M$1="Spend Bonus Points"</formula>
    </cfRule>
  </conditionalFormatting>
  <conditionalFormatting sqref="BN25">
    <cfRule type="expression" dxfId="26" priority="26">
      <formula>BN25+BM25&gt;3</formula>
    </cfRule>
    <cfRule type="expression" dxfId="25" priority="27">
      <formula>BM25+BN25=3</formula>
    </cfRule>
  </conditionalFormatting>
  <conditionalFormatting sqref="BO25">
    <cfRule type="expression" dxfId="24" priority="24">
      <formula>BM25+BN25+BO25&gt;5</formula>
    </cfRule>
    <cfRule type="expression" dxfId="23" priority="25">
      <formula>BM25+BN25+BO25=5</formula>
    </cfRule>
  </conditionalFormatting>
  <conditionalFormatting sqref="BN26:BO26">
    <cfRule type="expression" dxfId="22" priority="23">
      <formula>$M$1="Spend Bonus Points"</formula>
    </cfRule>
  </conditionalFormatting>
  <conditionalFormatting sqref="BN26">
    <cfRule type="expression" dxfId="21" priority="21">
      <formula>BN26+BM26&gt;3</formula>
    </cfRule>
    <cfRule type="expression" dxfId="20" priority="22">
      <formula>BM26+BN26=3</formula>
    </cfRule>
  </conditionalFormatting>
  <conditionalFormatting sqref="BO26">
    <cfRule type="expression" dxfId="19" priority="19">
      <formula>BM26+BN26+BO26&gt;5</formula>
    </cfRule>
    <cfRule type="expression" dxfId="18" priority="20">
      <formula>BM26+BN26+BO26=5</formula>
    </cfRule>
  </conditionalFormatting>
  <conditionalFormatting sqref="BN27:BO27">
    <cfRule type="expression" dxfId="17" priority="18">
      <formula>$M$1="Spend Bonus Points"</formula>
    </cfRule>
  </conditionalFormatting>
  <conditionalFormatting sqref="BN27">
    <cfRule type="expression" dxfId="16" priority="16">
      <formula>BN27+BM27&gt;3</formula>
    </cfRule>
    <cfRule type="expression" dxfId="15" priority="17">
      <formula>BM27+BN27=3</formula>
    </cfRule>
  </conditionalFormatting>
  <conditionalFormatting sqref="BO27">
    <cfRule type="expression" dxfId="14" priority="14">
      <formula>BM27+BN27+BO27&gt;5</formula>
    </cfRule>
    <cfRule type="expression" dxfId="13" priority="15">
      <formula>BM27+BN27+BO27=5</formula>
    </cfRule>
  </conditionalFormatting>
  <conditionalFormatting sqref="BN28:BO28">
    <cfRule type="expression" dxfId="12" priority="13">
      <formula>$M$1="Spend Bonus Points"</formula>
    </cfRule>
  </conditionalFormatting>
  <conditionalFormatting sqref="BN28">
    <cfRule type="expression" dxfId="11" priority="11">
      <formula>BN28+BM28&gt;3</formula>
    </cfRule>
    <cfRule type="expression" dxfId="10" priority="12">
      <formula>BM28+BN28=3</formula>
    </cfRule>
  </conditionalFormatting>
  <conditionalFormatting sqref="BO28">
    <cfRule type="expression" dxfId="9" priority="9">
      <formula>BM28+BN28+BO28&gt;5</formula>
    </cfRule>
    <cfRule type="expression" dxfId="8" priority="10">
      <formula>BM28+BN28+BO28=5</formula>
    </cfRule>
  </conditionalFormatting>
  <conditionalFormatting sqref="I19:L21 I25:L27 I31:L33 S30:T33 W30:X30 AF4:AG33 AN6:AS33 AU4:AV4 AW4:BC46 BN32:BO39 BN21:BO28 BQ4:BR12">
    <cfRule type="expression" dxfId="7" priority="8">
      <formula>$M$45&lt;0</formula>
    </cfRule>
  </conditionalFormatting>
  <conditionalFormatting sqref="A3:AB3 E25:AB26 A24:L24 A30:AB30 E27:L28 Y27:AB28 A44:H46 A38:D38 A43:L43 Q39:BT39 M44:BM46 E39:L42 M38:P38 E29:AB29 E19:L23 A18:D18 M18:AB18 Y16:AB17 A14:AB15 S12 Q43:BM43 BP40:BT46 Q40:BH42 BM40:BM42 E31:AB33 BO13:BT17 BK4:BT12 BI3:BJ3 E34:X35 AU3:AV3 A4:AI4 AW5:BH5 AU4:BH4 AN13:BL13 Q19:AB24 AN21:BT23 AN6:BH12 AN14:BH20 A5:AB11 AF5:AI23 AF32:BT38 AF29:BH31 AF24:BT28 Y12:AB13 CD1:CG2 E12:E13">
    <cfRule type="expression" dxfId="6" priority="4">
      <formula>$M$1="You're Done!"</formula>
    </cfRule>
  </conditionalFormatting>
  <conditionalFormatting sqref="BI21:BM28 BI32:BM39">
    <cfRule type="expression" dxfId="5" priority="5">
      <formula>$BM$41&lt;0</formula>
    </cfRule>
    <cfRule type="notContainsBlanks" dxfId="4" priority="6">
      <formula>LEN(TRIM(BI21))&gt;0</formula>
    </cfRule>
    <cfRule type="expression" dxfId="3" priority="7">
      <formula>$M$1="Select Birthrights"</formula>
    </cfRule>
  </conditionalFormatting>
  <conditionalFormatting sqref="AC5:AE33">
    <cfRule type="expression" dxfId="2" priority="3">
      <formula>$M$1="You're Done!"</formula>
    </cfRule>
  </conditionalFormatting>
  <conditionalFormatting sqref="S13">
    <cfRule type="expression" dxfId="1" priority="2">
      <formula>$M$1="Select Your Nature"</formula>
    </cfRule>
  </conditionalFormatting>
  <conditionalFormatting sqref="S13">
    <cfRule type="expression" dxfId="0" priority="1">
      <formula>$M$1="You're Done!"</formula>
    </cfRule>
  </conditionalFormatting>
  <dataValidations count="6">
    <dataValidation type="list" allowBlank="1" showInputMessage="1" showErrorMessage="1" sqref="BG4:BG46">
      <formula1>Test</formula1>
    </dataValidation>
    <dataValidation type="list" allowBlank="1" showInputMessage="1" showErrorMessage="1" sqref="AW4:BB46">
      <formula1>Purviews</formula1>
    </dataValidation>
    <dataValidation type="list" allowBlank="1" showInputMessage="1" showErrorMessage="1" sqref="E22:H22 E28:H28 E34:H34">
      <formula1>Priority</formula1>
    </dataValidation>
    <dataValidation type="list" allowBlank="1" showInputMessage="1" showErrorMessage="1" sqref="AN6:AS33">
      <formula1>Knack</formula1>
    </dataValidation>
    <dataValidation type="list" allowBlank="1" showInputMessage="1" showErrorMessage="1" sqref="Y24:AB33">
      <formula1>Special</formula1>
    </dataValidation>
    <dataValidation type="list" allowBlank="1" showInputMessage="1" showErrorMessage="1" sqref="S13">
      <formula1>Natures</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72</vt:i4>
      </vt:variant>
    </vt:vector>
  </HeadingPairs>
  <TitlesOfParts>
    <vt:vector size="88" baseType="lpstr">
      <vt:lpstr>How To</vt:lpstr>
      <vt:lpstr>CharacterSheet</vt:lpstr>
      <vt:lpstr>Knacks and Boons</vt:lpstr>
      <vt:lpstr>Followers and Creatures</vt:lpstr>
      <vt:lpstr>Guides and Additional Relics</vt:lpstr>
      <vt:lpstr>Creation</vt:lpstr>
      <vt:lpstr>DotTracking</vt:lpstr>
      <vt:lpstr>DemigodConversion</vt:lpstr>
      <vt:lpstr>GodConversion</vt:lpstr>
      <vt:lpstr>ArmoryRef</vt:lpstr>
      <vt:lpstr>AssociatedRef</vt:lpstr>
      <vt:lpstr>BoonRef</vt:lpstr>
      <vt:lpstr>KanckRef</vt:lpstr>
      <vt:lpstr>Reference</vt:lpstr>
      <vt:lpstr>PantheonList</vt:lpstr>
      <vt:lpstr>To Do</vt:lpstr>
      <vt:lpstr>advantagetype</vt:lpstr>
      <vt:lpstr>Aesir</vt:lpstr>
      <vt:lpstr>Allied</vt:lpstr>
      <vt:lpstr>Amatsukami</vt:lpstr>
      <vt:lpstr>Animal</vt:lpstr>
      <vt:lpstr>Appearance</vt:lpstr>
      <vt:lpstr>Arete</vt:lpstr>
      <vt:lpstr>Armor</vt:lpstr>
      <vt:lpstr>Asha</vt:lpstr>
      <vt:lpstr>Atzlanti</vt:lpstr>
      <vt:lpstr>Birthrights</vt:lpstr>
      <vt:lpstr>Boon</vt:lpstr>
      <vt:lpstr>Celestial</vt:lpstr>
      <vt:lpstr>Chaos</vt:lpstr>
      <vt:lpstr>Charisma</vt:lpstr>
      <vt:lpstr>Cheval</vt:lpstr>
      <vt:lpstr>Civitas</vt:lpstr>
      <vt:lpstr>Darkness</vt:lpstr>
      <vt:lpstr>Death</vt:lpstr>
      <vt:lpstr>Devas</vt:lpstr>
      <vt:lpstr>Dexterity</vt:lpstr>
      <vt:lpstr>Dodekatheon</vt:lpstr>
      <vt:lpstr>Earth</vt:lpstr>
      <vt:lpstr>Enech</vt:lpstr>
      <vt:lpstr>Fertility</vt:lpstr>
      <vt:lpstr>Fire</vt:lpstr>
      <vt:lpstr>Frost</vt:lpstr>
      <vt:lpstr>Guardian</vt:lpstr>
      <vt:lpstr>Health</vt:lpstr>
      <vt:lpstr>Heku</vt:lpstr>
      <vt:lpstr>Illusion</vt:lpstr>
      <vt:lpstr>Industry</vt:lpstr>
      <vt:lpstr>Intelligence</vt:lpstr>
      <vt:lpstr>Itztli</vt:lpstr>
      <vt:lpstr>Jotunblut</vt:lpstr>
      <vt:lpstr>Justice</vt:lpstr>
      <vt:lpstr>Knack</vt:lpstr>
      <vt:lpstr>Loa</vt:lpstr>
      <vt:lpstr>Magic</vt:lpstr>
      <vt:lpstr>Manipulation</vt:lpstr>
      <vt:lpstr>Moon</vt:lpstr>
      <vt:lpstr>Mystery</vt:lpstr>
      <vt:lpstr>Natures</vt:lpstr>
      <vt:lpstr>Pantheons</vt:lpstr>
      <vt:lpstr>Perception</vt:lpstr>
      <vt:lpstr>Pesedjet</vt:lpstr>
      <vt:lpstr>Priority</vt:lpstr>
      <vt:lpstr>Prophecy</vt:lpstr>
      <vt:lpstr>Psychopomp</vt:lpstr>
      <vt:lpstr>Purviews</vt:lpstr>
      <vt:lpstr>Samsara</vt:lpstr>
      <vt:lpstr>Scire</vt:lpstr>
      <vt:lpstr>Select</vt:lpstr>
      <vt:lpstr>Sky</vt:lpstr>
      <vt:lpstr>Sources</vt:lpstr>
      <vt:lpstr>Special</vt:lpstr>
      <vt:lpstr>Stamina</vt:lpstr>
      <vt:lpstr>Stars</vt:lpstr>
      <vt:lpstr>Strength</vt:lpstr>
      <vt:lpstr>Sun</vt:lpstr>
      <vt:lpstr>Taiyi</vt:lpstr>
      <vt:lpstr>Test</vt:lpstr>
      <vt:lpstr>TsukumoGami</vt:lpstr>
      <vt:lpstr>Tuatha</vt:lpstr>
      <vt:lpstr>Virtues</vt:lpstr>
      <vt:lpstr>War</vt:lpstr>
      <vt:lpstr>Water</vt:lpstr>
      <vt:lpstr>Weapon</vt:lpstr>
      <vt:lpstr>weaptype</vt:lpstr>
      <vt:lpstr>Wits</vt:lpstr>
      <vt:lpstr>Yankee</vt:lpstr>
      <vt:lpstr>Yazata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Scion Character Tracker V1</dc:title>
  <dc:creator>John Abbott</dc:creator>
  <cp:lastModifiedBy>John Abbott</cp:lastModifiedBy>
  <cp:lastPrinted>2013-09-12T06:34:23Z</cp:lastPrinted>
  <dcterms:created xsi:type="dcterms:W3CDTF">2012-03-24T07:36:20Z</dcterms:created>
  <dcterms:modified xsi:type="dcterms:W3CDTF">2013-09-12T06:36:44Z</dcterms:modified>
</cp:coreProperties>
</file>